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4000" windowHeight="9135" activeTab="2"/>
  </bookViews>
  <sheets>
    <sheet name="PAAP Continut" sheetId="1" r:id="rId1"/>
    <sheet name="PAAP 2020" sheetId="2" r:id="rId2"/>
    <sheet name="Achizitii directe 2020" sheetId="3" r:id="rId3"/>
  </sheets>
  <definedNames>
    <definedName name="_xlnm.Print_Area" localSheetId="2">'Achizitii directe 2020'!$A$1:$I$227</definedName>
    <definedName name="_xlnm.Print_Area" localSheetId="1">'PAAP 2020'!$A$1:$N$67</definedName>
    <definedName name="_xlnm.Print_Area" localSheetId="0">'PAAP Continut'!$A$1:$N$23</definedName>
  </definedNames>
  <calcPr calcId="152511"/>
</workbook>
</file>

<file path=xl/calcChain.xml><?xml version="1.0" encoding="utf-8"?>
<calcChain xmlns="http://schemas.openxmlformats.org/spreadsheetml/2006/main">
  <c r="G46" i="2" l="1"/>
  <c r="F46" i="2" s="1"/>
  <c r="D21" i="3"/>
  <c r="D26" i="3"/>
  <c r="D198" i="3"/>
  <c r="D186" i="3"/>
  <c r="D187" i="3"/>
  <c r="D192" i="3"/>
  <c r="D193" i="3"/>
  <c r="D200" i="3"/>
  <c r="D197" i="3"/>
  <c r="D196" i="3"/>
  <c r="D189" i="3"/>
  <c r="D95" i="3"/>
  <c r="G29" i="2"/>
  <c r="F29" i="2"/>
  <c r="G28" i="2"/>
  <c r="F28" i="2"/>
  <c r="G27" i="2"/>
  <c r="G30" i="2" s="1"/>
  <c r="F27" i="2"/>
  <c r="D203" i="3" l="1"/>
  <c r="G50" i="2" l="1"/>
  <c r="G51" i="2" s="1"/>
  <c r="G56" i="2"/>
  <c r="G55" i="2"/>
  <c r="G54" i="2"/>
  <c r="G53" i="2"/>
  <c r="G52" i="2"/>
  <c r="F50" i="2" l="1"/>
  <c r="G57" i="2"/>
  <c r="G58" i="2" s="1"/>
  <c r="G61" i="2" s="1"/>
  <c r="D220" i="3" l="1"/>
  <c r="D218" i="3"/>
  <c r="D216" i="3"/>
  <c r="D208" i="3"/>
  <c r="D206" i="3"/>
  <c r="D204" i="3"/>
  <c r="D184" i="3"/>
  <c r="D182" i="3"/>
  <c r="G42" i="2"/>
  <c r="F42" i="2"/>
  <c r="G34" i="2"/>
  <c r="G33" i="2"/>
  <c r="G37" i="2"/>
  <c r="F36" i="2"/>
  <c r="G35" i="2"/>
  <c r="F35" i="2"/>
  <c r="F34" i="2"/>
  <c r="F33" i="2"/>
  <c r="G39" i="2" l="1"/>
  <c r="D77" i="3"/>
  <c r="D73" i="3"/>
  <c r="F16" i="2"/>
  <c r="G16" i="2"/>
  <c r="D62" i="3"/>
  <c r="D49" i="3"/>
  <c r="D18" i="3"/>
  <c r="D16" i="3"/>
  <c r="D14" i="3"/>
  <c r="D12" i="3"/>
  <c r="D10" i="3"/>
  <c r="D221" i="3" l="1"/>
  <c r="D219" i="3"/>
  <c r="D217" i="3"/>
  <c r="D215" i="3"/>
  <c r="D209" i="3"/>
  <c r="D207" i="3"/>
  <c r="D205" i="3"/>
  <c r="D185" i="3"/>
  <c r="D183" i="3"/>
  <c r="D181" i="3"/>
  <c r="G48" i="2" s="1"/>
  <c r="D179" i="3"/>
  <c r="G44" i="2" s="1"/>
  <c r="D143" i="3"/>
  <c r="D78" i="3"/>
  <c r="D74" i="3"/>
  <c r="G22" i="2" s="1"/>
  <c r="D39" i="3"/>
  <c r="D34" i="3"/>
  <c r="D19" i="3"/>
  <c r="D17" i="3"/>
  <c r="D15" i="3"/>
  <c r="D13" i="3"/>
  <c r="D11" i="3"/>
  <c r="G31" i="2" l="1"/>
  <c r="G32" i="2" s="1"/>
  <c r="G47" i="2"/>
  <c r="G43" i="2"/>
  <c r="G45" i="2" s="1"/>
  <c r="G25" i="2"/>
  <c r="G26" i="2" s="1"/>
  <c r="G21" i="2"/>
  <c r="G23" i="2" s="1"/>
  <c r="G49" i="2" l="1"/>
  <c r="D156" i="3"/>
  <c r="D155" i="3"/>
  <c r="D149" i="3"/>
  <c r="D152" i="3"/>
  <c r="D151" i="3"/>
  <c r="D172" i="3" l="1"/>
  <c r="D44" i="3"/>
  <c r="D43" i="3"/>
  <c r="D52" i="3" s="1"/>
  <c r="G14" i="2" s="1"/>
  <c r="F12" i="2"/>
  <c r="G12" i="2" s="1"/>
  <c r="F11" i="2"/>
  <c r="D222" i="3" l="1"/>
  <c r="G40" i="2"/>
  <c r="G41" i="2" s="1"/>
  <c r="G11" i="2"/>
  <c r="G13" i="2" s="1"/>
  <c r="G15" i="2" s="1"/>
  <c r="G60" i="2" s="1"/>
</calcChain>
</file>

<file path=xl/sharedStrings.xml><?xml version="1.0" encoding="utf-8"?>
<sst xmlns="http://schemas.openxmlformats.org/spreadsheetml/2006/main" count="1666" uniqueCount="504">
  <si>
    <t>Anul</t>
  </si>
  <si>
    <t>Nr. crt.</t>
  </si>
  <si>
    <t>Procedura stabilita/ instrumente specifice pentru derularea procesului de achizitie</t>
  </si>
  <si>
    <t>Rezultatul procedurii</t>
  </si>
  <si>
    <t>Modalitatea de derulare a procedurii de atribuire</t>
  </si>
  <si>
    <t>Min</t>
  </si>
  <si>
    <t>Max</t>
  </si>
  <si>
    <t>Contract</t>
  </si>
  <si>
    <t>Online</t>
  </si>
  <si>
    <t>Acord-cadru</t>
  </si>
  <si>
    <t>Offline</t>
  </si>
  <si>
    <t>Dialog competitiv</t>
  </si>
  <si>
    <t>Parteneriat pentru inovare</t>
  </si>
  <si>
    <t>Nr. Crt</t>
  </si>
  <si>
    <t>Programul anual al achizițiilor publice</t>
  </si>
  <si>
    <t xml:space="preserve">Persoana care realizează revizuirea </t>
  </si>
  <si>
    <t>Obiectul acordului cadru/contractului de achiziție publică</t>
  </si>
  <si>
    <t>Cod CPV și descrierea codului CPV</t>
  </si>
  <si>
    <t>Procedura stabilită/ instrumente specifice pentru derularea procesului de achiziție</t>
  </si>
  <si>
    <t>Valoare estimată
(RON fără TVA)</t>
  </si>
  <si>
    <t>Sursa de finanțare</t>
  </si>
  <si>
    <t>Data (luna) estimată pentru inițierea procedurii</t>
  </si>
  <si>
    <t>Data (luna) estimată pentru atribuirea contractului de achiziție publică/semnarea acordului-cadru</t>
  </si>
  <si>
    <t>Persoana responsabilă cu aplicarea procedurii de atribuire</t>
  </si>
  <si>
    <t>Data introducerii procedurii în Programul anual al achizițiilor publice</t>
  </si>
  <si>
    <t>Licitație deschisă</t>
  </si>
  <si>
    <t>Licitație restrânsă</t>
  </si>
  <si>
    <t>Negociere competitivă</t>
  </si>
  <si>
    <t>Procedură simplificată</t>
  </si>
  <si>
    <t>Negociere fără publicare prealabilă</t>
  </si>
  <si>
    <t>Procedura de atribuire aplicabilă în cazul serviciilor sociale și al altor servicii specifice</t>
  </si>
  <si>
    <t>Obiectul achiziție directe</t>
  </si>
  <si>
    <t>Data (luna) estimată pentru inițierea achiziției</t>
  </si>
  <si>
    <t>Data (luna) estimată pentru finalizarea  achiziției</t>
  </si>
  <si>
    <t>Persoana responsabilă cu derularea achiziției</t>
  </si>
  <si>
    <t>Data înregistrării nevoii</t>
  </si>
  <si>
    <t>În foaia de lucru Programul Anual al Achizițiilor Publice (PAAP) pentru anul în cauză se vor selecta sau completa informațiile conform instrucțiunilor. Coloanele P, Q și R care conțin informații despre tipul, rezultatul și modalitatea de derulare a unei proceduri nu se vor modifica. Aceste coloane au fost introduse pentru a oferi posibilitatea selectării din listă a respectivelor informații.]</t>
  </si>
  <si>
    <t>Ca urmare a planificării portofoliului de achiziții, Autoritatea Contractantă are obligația de a elabora Programul anual al achizițiilor publice, ca instrument managerial utilizat pentru planificarea și monitorizarea portofoliului de procese de achiziție la nivel de autoritate contractantă, pentru planificarea resurselor necesare derulării acestor procese și pentru verificarea modului de îndeplinire a obiectivelor politicii de achiziții.</t>
  </si>
  <si>
    <t>[Mai jos este prezentată o listă a informațiilor conținute în paginile acestui document; prin selectarea unei opțiuni sunteți direcționat automat către pagina corespunzătoare din cadrul acestui document.</t>
  </si>
  <si>
    <t>[introduceți nr. versiunii]</t>
  </si>
  <si>
    <t>[Introduceți numele si funcția persoanei]</t>
  </si>
  <si>
    <t>Inițială</t>
  </si>
  <si>
    <t>Revizuită</t>
  </si>
  <si>
    <t>Numărul revizuirii</t>
  </si>
  <si>
    <t>Data realizării revizuirii</t>
  </si>
  <si>
    <t>Motivul revizuirii</t>
  </si>
  <si>
    <t>[Precizați, după caz: modificare, adăugare, eliminare, completare, ș.a.]</t>
  </si>
  <si>
    <t>[Introduceți]</t>
  </si>
  <si>
    <t>Nr. revizuirii</t>
  </si>
  <si>
    <t>Tipul revizuirii</t>
  </si>
  <si>
    <t>[introduceți zz-ll-aaaa]</t>
  </si>
  <si>
    <t>Capitolul/secțiune revizuită</t>
  </si>
  <si>
    <t>Persoana care aprobă revizuirea</t>
  </si>
  <si>
    <t>Semnătura persoanei care aprobă revizuirea</t>
  </si>
  <si>
    <t>Data aprobării revizuirii</t>
  </si>
  <si>
    <r>
      <t>Forma documentului:</t>
    </r>
    <r>
      <rPr>
        <b/>
        <i/>
        <sz val="11"/>
        <color theme="1"/>
        <rFont val="Calibri"/>
        <family val="2"/>
        <charset val="238"/>
        <scheme val="minor"/>
      </rPr>
      <t xml:space="preserve"> </t>
    </r>
    <r>
      <rPr>
        <i/>
        <sz val="11"/>
        <color theme="1"/>
        <rFont val="Calibri"/>
        <family val="2"/>
        <charset val="238"/>
        <scheme val="minor"/>
      </rPr>
      <t>[Marcați cu X, după caz, și adăugați numărul revizuirii, acolo unde este cazul]</t>
    </r>
  </si>
  <si>
    <t>Autoritatea Contractanta: INSTITUTUL NATIONAL DE NEUROLOGIE SI BOLI NEUROVASCULARE</t>
  </si>
  <si>
    <t>PAAP 2019</t>
  </si>
  <si>
    <t>Achiziții directe 2019</t>
  </si>
  <si>
    <t>X</t>
  </si>
  <si>
    <t>Prestari servicii de analize de laborator</t>
  </si>
  <si>
    <t>FASS</t>
  </si>
  <si>
    <t>IANUARIE</t>
  </si>
  <si>
    <t>IANUARIE-DECEMBRIE</t>
  </si>
  <si>
    <t>IANUARIE - DECEMBRIE</t>
  </si>
  <si>
    <t>CINCIU IRINA</t>
  </si>
  <si>
    <t>16.01.2019</t>
  </si>
  <si>
    <t>Prestari servicii de imagistica - asociere in participatiune</t>
  </si>
  <si>
    <t>Articole de papetarie, inclusiv formulare</t>
  </si>
  <si>
    <t>DECEMBRIE</t>
  </si>
  <si>
    <t>CF REFERATELOR DE NECESITATE</t>
  </si>
  <si>
    <t>Produse de curatat si de lustruit, produse igienico sanitare</t>
  </si>
  <si>
    <t>30192000-1 - Accesorii de birou (Rev.2); 
 30199000-0 - Articole de papetarie si alte articole din hartie (Rev.2);  30199700-7 - Articole imprimate de papetarie, cu exceptia formularelor (Rev.2); 22800000-8 - Registre, registre contabile, clasoare, formulare si alte articole imprimate de papetarie din hartie sau din carton (Rev.2); 30192700-8 - Papetarie (Rev.2)</t>
  </si>
  <si>
    <t>Servicii de energie electrica si energie termica, servicii conexe</t>
  </si>
  <si>
    <t>65300000-6 - Distributie de energie electrica si servicii conexe (Rev.2); 31680000-6 - Articole si accesorii electrice (Rev.2); 31500000-1 - Aparatura de iluminat si lampi electrice (Rev.2); 31211310-4 - Sigurante fuzibile (Rev.2);  31224000-2 - Conexiuni si elemente de contact (Rev.2); 09323000-9 - Incalzire urbana (Rev.2);  71356200-0 - Servicii de asistenta tehnica (Rev.2)</t>
  </si>
  <si>
    <t>HUMENIUC VASILE</t>
  </si>
  <si>
    <t>Servicii de distributie apa si servicii conexe</t>
  </si>
  <si>
    <t xml:space="preserve">65100000-4 - Distributie de apa si servicii conexe (Rev.2); 90511200-4 - Servicii de colectare a gunoiului menajer (Rev.2); 41110000-3 - Apa potabila (Rev.2); 44161200-8 - Canalizari de apa (Rev.2); 90921000-9 - </t>
  </si>
  <si>
    <t>Carburanti si lubrifianti</t>
  </si>
  <si>
    <t>09100000-0 - Combustibili (Rev.2)</t>
  </si>
  <si>
    <t>Accesorii auto</t>
  </si>
  <si>
    <t xml:space="preserve">Servicii de reparare si de intretinere a echipamentului medical </t>
  </si>
  <si>
    <t>Dispozitive, echipamente medicale, consumabile medicale</t>
  </si>
  <si>
    <t>Piese schimb/materiale echipamente climatizare/tratare aer/refrigerare</t>
  </si>
  <si>
    <t xml:space="preserve"> 50100000-6 - Servicii de reparare si de intretinere a vehiculelor si a echipamentelor aferente si servicii conexe (Rev.2); 34351100-3 - Pneuri pentru autovehicule (Rev.2); 34324000-4 - Roti, piese si accesorii (Rev.2)</t>
  </si>
  <si>
    <t>50421000-2 - Servicii de reparare si de intretinere a echipamentului medical (Rev.2)</t>
  </si>
  <si>
    <t>42123610-6 - Dispozitive cu aer comprimat (Rev.2)</t>
  </si>
  <si>
    <t>50532000-3 - Servicii de reparare si de intretinere a masinilor si aparatelor electrice si a echipamentului conex (Rev.2);  50530000-9 - Servicii de reparare si de intretinere a masinilor (Rev.2)</t>
  </si>
  <si>
    <t>Piese de schimb retea telefonica, echipament de securitate, echipament video, centrala telefonica</t>
  </si>
  <si>
    <t>Piese de schimb pentru computere</t>
  </si>
  <si>
    <t>Oxigenator complet</t>
  </si>
  <si>
    <t>Capsula microfiltranta cu filtru dublu apa sterila 0,2 microni</t>
  </si>
  <si>
    <t xml:space="preserve">Manseta NIBP reutilizabila </t>
  </si>
  <si>
    <t>Cablu EKG pentru monitor Nihon, 3 derivatii</t>
  </si>
  <si>
    <t>Set complet cabluri monitor pacient ATI</t>
  </si>
  <si>
    <t>Senzor pulsoximetru monitor Nihon ATI</t>
  </si>
  <si>
    <t>Cablu/Senzor SPO2 compatibil cu monitoare Drager Infinity Vista XL</t>
  </si>
  <si>
    <t>Vas umidificator/barbotor/oxigenator, autoclavabil</t>
  </si>
  <si>
    <t>50334110-9 - Servicii de intretinere a retelei telefonice (Rev.2); 50334130-5 - Servicii de reparare si de intretinere a centralelor telefonice interne (Rev.2);  50610000-4 - Servicii de reparare si de intretinere a echipamentului de securitate (Rev.2); 50343000-1 - Servicii de reparare si de intretinere a echipamentului video (Rev.2)</t>
  </si>
  <si>
    <t>30237100-0 - Piese pentru computere (Rev.2);  30237000-9 - Piese si accesorii pentru computere (Rev.2); 30237400-3 - Accesorii de introducere a datelor (Rev.2)</t>
  </si>
  <si>
    <t>33186100-8 - Oxigenator (Rev. 2)</t>
  </si>
  <si>
    <t>42996500-9 - Filtre pentru ape reziduale (Rev.2)</t>
  </si>
  <si>
    <t>44165000-4 Furtunuri, conducet ascendente si mansoane (rev. 2)</t>
  </si>
  <si>
    <t>44321000-6 Cablu (Rev. 2)</t>
  </si>
  <si>
    <t>33196000-0 Mijloace auxiliare medicale (Rev. 2)</t>
  </si>
  <si>
    <t>35125100-7 Senzori (Rev. 2)</t>
  </si>
  <si>
    <t>33124130-5 Accesorii de diagnosticare (Rev. 2)</t>
  </si>
  <si>
    <t>33157700-2 Barbotor pentru oxigenoterapie (Rev. 2)</t>
  </si>
  <si>
    <t>Servicii de telecomunicatii</t>
  </si>
  <si>
    <t>Servicii de telefonie fixa</t>
  </si>
  <si>
    <t>Servicii de livrare posta, curierat</t>
  </si>
  <si>
    <t>Servicii furnizare internet</t>
  </si>
  <si>
    <t>64200000-8 - Servicii de telecomunicatii (Rev.2)</t>
  </si>
  <si>
    <t>64211000-8 - Servicii de telefonie publica (Rev.2)</t>
  </si>
  <si>
    <t>64100000-7 - Servicii postale si de curierat (Rev.2)</t>
  </si>
  <si>
    <t>72400000-4 - Servicii de internet (Rev.2)</t>
  </si>
  <si>
    <t>Servicii de asigurare auto</t>
  </si>
  <si>
    <t>Servicii de reparare si de intretinere a echipamentului medical</t>
  </si>
  <si>
    <t>Analize imunohematologie</t>
  </si>
  <si>
    <t>Prestari servicii angiografie</t>
  </si>
  <si>
    <t>Prestari servicii infectii nosocomiale</t>
  </si>
  <si>
    <t>Tipizate medicale</t>
  </si>
  <si>
    <t>Servicii intretinere aparatura medicala</t>
  </si>
  <si>
    <t>Servicii intretinere reparatii auto</t>
  </si>
  <si>
    <t>Servicii de laborator analize medicale de autocontrol si preventie a infectiilor nosocomiale</t>
  </si>
  <si>
    <t>Servicii reparatii si intretinere echipament radiologic</t>
  </si>
  <si>
    <t>Servicii reparatii si intretinere aparatura medicala-Piese schimb</t>
  </si>
  <si>
    <t xml:space="preserve">Servicii de transport pacienti </t>
  </si>
  <si>
    <t>66514110-0 - Servicii de asigurare a autovehiculelor (Rev.2)</t>
  </si>
  <si>
    <t>85111810-1 - Servicii de analize de sange (Rev.2)</t>
  </si>
  <si>
    <t>85141200-1 - Servicii prestate de personalul de asistenta medicala (Rev.2)</t>
  </si>
  <si>
    <t>22000000-0 - Imprimate si produse conexe (Rev.2)</t>
  </si>
  <si>
    <t>50422000-9 - Servicii de reparare si de intretinere a echipamentului chirurgical (Rev.2); 71356200-0 - Servicii de asistenta tehnica (Rev.2); 50420000-5 - Servicii de reparare si de intretinere a echipamentului medical si chirurgical (Rev.2)</t>
  </si>
  <si>
    <t>50100000-6 - Servicii de reparare si de intretinere a vehiculelor si a echipamentelor aferente si servicii conexe (Rev.2)</t>
  </si>
  <si>
    <t>85145000-7 - Servicii prestate de laboratoare medicale (Rev.2)</t>
  </si>
  <si>
    <t>50421200-4 - Servicii de reparare si de intretinere a echipamentului radiologic (Rev.2)</t>
  </si>
  <si>
    <t>50800000-3 - Diverse servicii de intretinere si de reparare (Rev.2)</t>
  </si>
  <si>
    <t>85143000-3 - Servicii de ambulanta (Rev.2)</t>
  </si>
  <si>
    <t>Servicii consultanta protectia riscurilor radiologice</t>
  </si>
  <si>
    <t>Servicii arhivare</t>
  </si>
  <si>
    <t>Servicii deszapezire</t>
  </si>
  <si>
    <t>Servicii legislative</t>
  </si>
  <si>
    <t>Servicii de certificare a semnaturii electronice</t>
  </si>
  <si>
    <t>Servicii incarcare tonere</t>
  </si>
  <si>
    <t>Revizie anuala CNCIR-lifturi,cazane,recipiente</t>
  </si>
  <si>
    <t>Servicii intretinere grupuri refrigerare</t>
  </si>
  <si>
    <t>Servicii intretinere echipament medicalsi asistenta tehnica ISCIR</t>
  </si>
  <si>
    <t>Prestari servicii apa</t>
  </si>
  <si>
    <t>Servicii deratizare dezinsectie</t>
  </si>
  <si>
    <t>Servicii intretinere echipament securitate si CATV video, retele telefonice si centrale telefonice</t>
  </si>
  <si>
    <t>Servicii intretinere ascensoare</t>
  </si>
  <si>
    <t>Protocol colaborare 9335/30.08.2013-Servicii supraveghere,patrulare,paza.</t>
  </si>
  <si>
    <t>Servicii colectare,transport,eliminare deseuri medicale</t>
  </si>
  <si>
    <t>Servicii expertiza autorizare securitate incendiu</t>
  </si>
  <si>
    <t>Servicii mentenanta PC, imprimante</t>
  </si>
  <si>
    <t xml:space="preserve">Servicii de asistenta sistem informatic SALARY </t>
  </si>
  <si>
    <t xml:space="preserve">Servicii de gazduire pentru operarea de site-uri WWW </t>
  </si>
  <si>
    <t>71317000-3 - Servicii de consultanta in protectia contra riscurilor si in controlul riscurilor (Rev.2)</t>
  </si>
  <si>
    <t>79995100-6 - Servicii de arhivare (Rev.2)</t>
  </si>
  <si>
    <t>90620000-9 - Servicii de deszapezire (Rev.2)</t>
  </si>
  <si>
    <t>75111200-9 - Servicii legislative (Rev.2)</t>
  </si>
  <si>
    <t>79132100-9 - Servicii de certificare a semnaturii electronice (Rev.2)</t>
  </si>
  <si>
    <t>30120000-6 - Echipament de fotocopiere si de tiparire offset (Rev.2)</t>
  </si>
  <si>
    <t xml:space="preserve">44610000-9 - Cisterne, rezervoare, containere si cuve sub presiune (Rev.2); 42416100-6 - Ascensoare (Rev.2) </t>
  </si>
  <si>
    <t>50730000-1 - Servicii de reparare si de intretinere a grupurilor de refrigerare (Rev.2)</t>
  </si>
  <si>
    <t>50420000-5 - Servicii de reparare si de intretinere a echipamentului medical si chirurgical (Rev.2); 71356200-0 - Servicii de asistenta tehnica (Rev.2)</t>
  </si>
  <si>
    <t>65110000-7 - Distributie de apa (Rev.2)</t>
  </si>
  <si>
    <t>Servicii de dezinfectie si de dezinsectie (Rev.2); 90923000-3 - Servicii de deratizare (Rev.2)</t>
  </si>
  <si>
    <t>50610000-4 - Servicii de reparare si de intretinere a echipamentului de securitate (Rev.2); 50343000-1 - Servicii de reparare si de intretinere a echipamentului video (Rev.2); 50334110-9 - Servicii de intretinere a retelei telefonice (Rev.2)</t>
  </si>
  <si>
    <t>50750000-7 - Servicii de intretinere a ascensoarelor (Rev.2)</t>
  </si>
  <si>
    <t>79714000-2 - Servicii de supraveghere (Rev.2); 79715000-9 - Servicii de patrulare (Rev.2)</t>
  </si>
  <si>
    <t>90524400-0 - Servicii de colectare, de transport si de eliminare a deseurilor spitalicesti (Rev.2)</t>
  </si>
  <si>
    <t>71319000-7 - Servicii de expertiza (Rev.2)</t>
  </si>
  <si>
    <t>50311400-2 - Repararea si intretinerea calculatoarelor si a masinilor contabile (Rev.2)</t>
  </si>
  <si>
    <t>48450000-7 - Pachete software de contabilizare a timpului sau pentru resurse umane (Rev.2)</t>
  </si>
  <si>
    <t>72415000-2 - Servicii de gazduire pentru operarea de site-uri WWW (World Wide Web) (Rev.2)</t>
  </si>
  <si>
    <t>98390000-3 Alte servicii (Rev.2)</t>
  </si>
  <si>
    <t>Materiale electrosanitare de intretinere</t>
  </si>
  <si>
    <t>31500000-1 - Aparatura de iluminat si lampi electrice (Rev.2); 31680000-6 - Articole si accesorii electrice (Rev.2); 44411100-5 - Robinete (Rev.2); 44167100-9 - Racorduri (Rev.2); 39144000-3 - Mobilier de baie (Rev.2); 44800000-8 - Vopsele, lacuri si masticuri (Rev.2); 42131400-0 - Robinete sau vane pentru instalatii sanitare (Rev.2)</t>
  </si>
  <si>
    <t>Servicii de verificare hidranti interiori-Piese sistem</t>
  </si>
  <si>
    <t>44482200-4 - Hidranti de incendiu (Rev.2)</t>
  </si>
  <si>
    <t>Reparatii curente</t>
  </si>
  <si>
    <t xml:space="preserve">45261310-0 - Lucrari de hidroizolare (Rev.2); 45453000-7 - Lucrari de reparatii generale si de renovare (Rev.2); 45430000-0 - Lucrari de imbracare a podelelor si a peretilor (Rev.2); 45420000-7 - Lucrari de tamplarie si de dulgherie (Rev.2); 45421152-4 - Instalare de pereti despartitori (Rev.2) </t>
  </si>
  <si>
    <t>Adrenalina 0.1% 100/1ml sol inj</t>
  </si>
  <si>
    <t>33622600-2 - Betablocanti</t>
  </si>
  <si>
    <t>Exelon 13.3mg/24h x 30plasturi transderm</t>
  </si>
  <si>
    <t>33690000-3 - Diverse medicamente</t>
  </si>
  <si>
    <t>PRAMISTAR 600MG X 20CPR FILM (PRAMIRACETAMUM)</t>
  </si>
  <si>
    <t>33661700-8 - Alte medicamente pentru sistemul nervos</t>
  </si>
  <si>
    <t>TRAMADOL (TRAMAG) CPR 50MG CUTIE X20CPR (TRAMADOLUM)</t>
  </si>
  <si>
    <t>33661200-3 -  Analgezice</t>
  </si>
  <si>
    <t>Fitomenadiona 10mg/ml 5/1ml sol inj (PHYTOMENADIONUM)</t>
  </si>
  <si>
    <t>33621200-1 -  Antihemoragice</t>
  </si>
  <si>
    <t>KETOROLAC TROMETAMOL ROMPHARM 30MG/ML SOL INJ X 10FI</t>
  </si>
  <si>
    <t>33632100-0 -  Antiinflamatoare si antireumatismale</t>
  </si>
  <si>
    <t xml:space="preserve">33622000-6 - Medicamente pentru sistemul cardiovascular </t>
  </si>
  <si>
    <t>FERINJECT 50MG/ML 10ML*1FL</t>
  </si>
  <si>
    <t>33616000-1 -  Vitamine</t>
  </si>
  <si>
    <t>Apa oxigenata 3% * 1000ml (canistra)</t>
  </si>
  <si>
    <t xml:space="preserve">24315300-8 -  Peroxid de hidrogen </t>
  </si>
  <si>
    <t>Prednison 5mg x 20cpr</t>
  </si>
  <si>
    <t xml:space="preserve">33600000-6 -  Produse farmaceutice </t>
  </si>
  <si>
    <t>PERHIDROL (apa oxigenata,peroxid de hidrogen) 30% sol</t>
  </si>
  <si>
    <t>33692600-3 -  Preparate galenice</t>
  </si>
  <si>
    <t>TROMBOSTOP 2MG X 30CP TERAPIA (ACENOCUMAROLUM)</t>
  </si>
  <si>
    <t>Adrenalina 0.1% 100/1ml sol inj EPINEPHRINUM</t>
  </si>
  <si>
    <t>COLISTINA 1.000.000UI X 10FL ANTIBIOTICE (COLISTINUM)</t>
  </si>
  <si>
    <t>33641100-6 -  Antiinfectioase si antiseptice pentru ginecologie</t>
  </si>
  <si>
    <t>Lerpin 20mg x 98cpr film (LERCANIDIPINUM)</t>
  </si>
  <si>
    <t>33690000-3 -  Diverse medicamente</t>
  </si>
  <si>
    <t>Apa pentru preparate injectabile, Cutie X 10 flacoane tip Ecoflac plus X 500 ml</t>
  </si>
  <si>
    <t>33695000-8 -  Toate celelalte produse neterapeutice</t>
  </si>
  <si>
    <t>CLONOTRIL 0,5 mg; Cutie x 30 compr.</t>
  </si>
  <si>
    <t xml:space="preserve"> 33661300-4 -  Antiepileptice</t>
  </si>
  <si>
    <t>GLUCOZA ZENTIVA 3300MG/10ML*5FIOLE</t>
  </si>
  <si>
    <t>33692700-4 -  Solutii de glucoza</t>
  </si>
  <si>
    <t xml:space="preserve">VITAMINA C ARENA 750mg SOL. INJ.; Cutie x 5 fiole din sticla bruna x 5 ml solutie injectabila </t>
  </si>
  <si>
    <t>KABIVEN PERIPHERAL * 4 EMULSIE / Combinatii;Cutie x 4 saci x 1440ml - PERIPHERAL</t>
  </si>
  <si>
    <t>SEVOFLURANUM / Sevorane(R) sol. inhal.x 250ml(plastic)</t>
  </si>
  <si>
    <t xml:space="preserve"> 33661100-2 -  Anestezice </t>
  </si>
  <si>
    <t>Glicerina cu galbenele si propolis fl 25 ml</t>
  </si>
  <si>
    <t>LINEZOLIDUM/ZYVOXID(R) 600mg; Cutie x 1 flacon x 10 comprimate filmate</t>
  </si>
  <si>
    <t>33651100-9 -  Antibacterieni pentru uz sistemic</t>
  </si>
  <si>
    <t xml:space="preserve">33661300-4 -  Antiepileptice </t>
  </si>
  <si>
    <t>33600000-6 -  Produse farmaceutice</t>
  </si>
  <si>
    <t>AMOKSIKLAV 2 X 1G X 14CPR FILM PHARMATECH (AMOXICILLINUM + ACIDUM CLAVULANICUM)</t>
  </si>
  <si>
    <t>PHENHYDAN 250mg/5ml SOL. INJ. / PHENYTOINUM / FENITOINA SODICA</t>
  </si>
  <si>
    <t>FLUCONAZOL KABI 2mg/ml - 400mg</t>
  </si>
  <si>
    <t>33651200-0 -  Antimicotice pentru uz sistemic</t>
  </si>
  <si>
    <t>SALBUTAMOLUM / Asthalin susp.inh.presur.100mcg/dz x 200dz</t>
  </si>
  <si>
    <t xml:space="preserve"> 33673000-8 -  Medicamente impotriva maladiilor obstructive ale cailor respiratorii</t>
  </si>
  <si>
    <t>Paracetamol 10 mg/ml 100ml; Solutie perfuzabila. Flacon EP cu doua porturi de administrare identice, sterile, acoperite cu folie de aluminiu. Cutie cu 10 flacoane din polietilena a 100 ml solutie perfuzabila.Cutie x 10 fl</t>
  </si>
  <si>
    <t xml:space="preserve">33692400-1 -  Solutii pentru perfuzii </t>
  </si>
  <si>
    <t>Fluimucil 300mg/3ml sol.inj/inh*5f*3ml / CSC LLC PHARMACEUTICALS / ACETYLCYSTEINUM</t>
  </si>
  <si>
    <t xml:space="preserve">33674000-5 -  Medicamente impotriva tusei si a guturaiului </t>
  </si>
  <si>
    <t xml:space="preserve">VITAMEDI-C 750MG/5ML SOL INJ X 5 FIOLE </t>
  </si>
  <si>
    <t>33616000-1 Vitamine</t>
  </si>
  <si>
    <t>IMUNOGLOBULINA UMANA NORMALA 5g; Cutie cu 1 flac. din sticla incolora x 100 ml sol. perf. + 1 set administrare</t>
  </si>
  <si>
    <t xml:space="preserve"> 33651520-9 -  Imunoglobuline</t>
  </si>
  <si>
    <t>33661300-4 Antiepileptice (Rev.2)</t>
  </si>
  <si>
    <t>ACETYLCYSTEINUM / Fluimucil inj.100 mg./ml x 5 fiole/3ml</t>
  </si>
  <si>
    <t>33674000-5 Medicamente impotriva tusei si a guturaiului (Rev.2)</t>
  </si>
  <si>
    <t>Levetiracetam Terapia 500mg x 30cpr film</t>
  </si>
  <si>
    <t>33690000-3 Diverse medicamente (Rev.2)</t>
  </si>
  <si>
    <t>ACTILYSE 50MG *1FL + SOLV- ALTEPLASUM</t>
  </si>
  <si>
    <t>33622400-0 - Vasoprotectoare (Rev.2)</t>
  </si>
  <si>
    <t>OSETRON</t>
  </si>
  <si>
    <t>Comprese nesterile 40cm/40cm*100 buc/pachet</t>
  </si>
  <si>
    <t>33141118-0 -  Comprese de tifon</t>
  </si>
  <si>
    <t>Comprese sterile 10/8*50 pliuri</t>
  </si>
  <si>
    <t>NADROPARINUM / FRAXIPARINE(R) 3800 UI anti-factoR Xa/0,4ml/NADROPARINUM</t>
  </si>
  <si>
    <t>33621100-0 Antitrombotice (Rev.2)</t>
  </si>
  <si>
    <t>SULFAT DE ATROPINA 1MG/ML SOL.INJ. 1ML X 5FI TAKEDA (ATROPINUM)</t>
  </si>
  <si>
    <t>33622100-7 Medicamente utilizate in cardiologie (Rev.2)</t>
  </si>
  <si>
    <t>Ketanov 10mg x 20cpr film</t>
  </si>
  <si>
    <t>33600000-6 Produse farmaceutice (Rev.2)</t>
  </si>
  <si>
    <t xml:space="preserve">Hydrocortisone succinat sodic 100mg pulb+solv.pt.sol.inj/perf (HYDROCORTISONUM) </t>
  </si>
  <si>
    <t>33642200-4 Corticosteroizi pentru uz sistemic (Rev.2)</t>
  </si>
  <si>
    <t>HALOPERIDOL (HALOPERIDOLUM) ROMPHARM 2MG/ML</t>
  </si>
  <si>
    <t>33661000-1 Medicamente pentru sistemul nervos (Rev.2)</t>
  </si>
  <si>
    <t>RIVOTRIL 0.5MG X 50TBL (CLONAZEPAMUM)</t>
  </si>
  <si>
    <t>Candesartan Aurobindo 16mg x 30cpr</t>
  </si>
  <si>
    <t>VIREGYT (R) - K, CT X 1 FL X 50 CAPS. AMANTADINUM</t>
  </si>
  <si>
    <t>LOPERAMID - Loprid 2 mg</t>
  </si>
  <si>
    <t>33614000-7 Antidiareice, antiinflamatoare si antiinfectioase intestinale (Rev.2)</t>
  </si>
  <si>
    <t>ENALAPRIL 10MG LAROPHARM</t>
  </si>
  <si>
    <t>33622800-4 Medicamente pentru sistemul renin-angiotensin (Rev.2)</t>
  </si>
  <si>
    <t>Meguan 500mg x 20cpr (ARM)</t>
  </si>
  <si>
    <t>Sumetrolim 400/80mg x 20cpr / SULFAMETHOXAZOLUM + TRIMETHOPRIMUM</t>
  </si>
  <si>
    <t>Gabapentin 300 mg x 50 cps/GABARAN(gabapentinum)</t>
  </si>
  <si>
    <t>OPRYMEA 0,52mg X 30 COMPR. ELIB. PREL. 0,52mg KRKA D.D.</t>
  </si>
  <si>
    <t>ASPACARDIN 39 mg/12 mg X 30 COMPR. 39mg/12mg TERAPIA S.A.</t>
  </si>
  <si>
    <t>AMLODIPINA 5 MG DE ZENTIVA</t>
  </si>
  <si>
    <t>33620000-2 Medicamente pentru sange, pentru organele hematopoietice si pentru sistemul cardiovascular (Rev.2)</t>
  </si>
  <si>
    <t>CANDESARTAN ATB cpr 16 mg / CANDESARTANUM</t>
  </si>
  <si>
    <t>33622000-6 Medicamente pentru sistemul cardiovascular (Rev.2)</t>
  </si>
  <si>
    <t>METHYLPREDNISOLONUM / Medrol 16 mg x 50 compr</t>
  </si>
  <si>
    <t>LEMOD SOLU LIOF.PT.SOL.INJ. 500MG FLAC. X 1 + FIOLA 7,8ML X 1 - METHYLPREDNISOLONUM</t>
  </si>
  <si>
    <t xml:space="preserve">METOCLOPRAMID 10 mg x 40 COMPR. 10mg TERAPIA SA
</t>
  </si>
  <si>
    <t>33612000-3 Medicamente impotriva tulburarilor gastrointestinale functionale (Rev.2)</t>
  </si>
  <si>
    <t>SMECTA portocale x 10 plicuri</t>
  </si>
  <si>
    <t>Diverse medicamente</t>
  </si>
  <si>
    <t>SIMVACARD 20 MG X 28CPR FILM (SIMVASTATINUM) x 28 cp</t>
  </si>
  <si>
    <t>FENITOINA 100MG 2BL X 10CP GEDEON (PHENYTOINUM)</t>
  </si>
  <si>
    <t>SOLUTIE RINGER 500ML X 10FL STADA</t>
  </si>
  <si>
    <t>33692400-1 Solutii pentru perfuzii (Rev.2)</t>
  </si>
  <si>
    <t>MABRON 100MG 2ML X 5FI (TRAMADOLUM)</t>
  </si>
  <si>
    <t>33661200-3 Analgezice (Rev.2)</t>
  </si>
  <si>
    <t>PANZYGA 100 MG/ML X 50 ML (IMUNOGLOBULINA NORMALA PENTRU ADMIN. INTRAVASCULARA)</t>
  </si>
  <si>
    <t>33621000-9 Medicamente pentru sange si pentru organele hematopoietice (Rev.2)</t>
  </si>
  <si>
    <t>CONSTANTIN DANIELA</t>
  </si>
  <si>
    <t>Carbamazepina 200 mg; Cutie x 2 blistere x 10 cpr.</t>
  </si>
  <si>
    <t>Ac emg 37mm diam,26g-1 cut=25 buc</t>
  </si>
  <si>
    <t>33141320-9 - Ace medicale (Rev.2)</t>
  </si>
  <si>
    <t>Ac emg lung 37mmx0.46mm-1 cut=25 buc</t>
  </si>
  <si>
    <t>33141327-8 - Ace cu orificiu (Rev.2)</t>
  </si>
  <si>
    <t>Aparat de ras gillete</t>
  </si>
  <si>
    <t xml:space="preserve">33720000-3 - Aparate de ras si truse de manichiura sau de pedichiura </t>
  </si>
  <si>
    <t>18143000-3 - Echipamente de protectie (Rev.2)</t>
  </si>
  <si>
    <t>33140000-3 - Consumabile medicale (Rev.2)</t>
  </si>
  <si>
    <t>Calce sodata</t>
  </si>
  <si>
    <t>14430000-4 - Sare concentrata prin evaporare si clorura de sodiu pura (Rev.2</t>
  </si>
  <si>
    <t>Circuit pt ventilatie de unica folosinta ivent</t>
  </si>
  <si>
    <t>Cleme fixare craniofix 11mm</t>
  </si>
  <si>
    <t>33184100-4 - Implanturi chirurgicale (Rev.2)</t>
  </si>
  <si>
    <t>Cleme fixare craniofix 16mm</t>
  </si>
  <si>
    <t xml:space="preserve">Crema de ras </t>
  </si>
  <si>
    <t>33711810-8 - Creme de ras (Rev.2)</t>
  </si>
  <si>
    <t>Electrozi ekg</t>
  </si>
  <si>
    <t>31711140-6 - Electrozi (Rev.2)</t>
  </si>
  <si>
    <t>Imbracaminte de protectie</t>
  </si>
  <si>
    <t>Filme radiologice DVB 35/43</t>
  </si>
  <si>
    <t>32354100-0 - Filme pentru radiologii (Rev.2</t>
  </si>
  <si>
    <t>Fir taietor gigli</t>
  </si>
  <si>
    <t>33162200-5 - Instrumente pentru blocul operator (Rev.2)</t>
  </si>
  <si>
    <t>Furtun siliconic pentru aspiratie</t>
  </si>
  <si>
    <t>44165100-5 - Furtunuri (Rev.2)</t>
  </si>
  <si>
    <t>Lufe</t>
  </si>
  <si>
    <t>39831240-0 - Produse de curatenie (Rev.2</t>
  </si>
  <si>
    <t>Manusi chirurgicale</t>
  </si>
  <si>
    <t>33141420-0 - Manusi chirurgicale (Rev.2)</t>
  </si>
  <si>
    <t>Masca oxigen</t>
  </si>
  <si>
    <t>33157110-9 - Masca de oxigen (Rev.2)</t>
  </si>
  <si>
    <t>Pansamente sterile autoadeziv 10x10</t>
  </si>
  <si>
    <t>33141110-4 - Pansamente (Rev.2)</t>
  </si>
  <si>
    <t>Pansamente sterile autoadeziv 10x15</t>
  </si>
  <si>
    <t>Para Piriforma nr 6, 10</t>
  </si>
  <si>
    <t>33141600-6 - Recipiente si pungi de recoltare, drenaj si truse (Rev.2</t>
  </si>
  <si>
    <t>Pipe guedel</t>
  </si>
  <si>
    <t>Plosca urinara barbati</t>
  </si>
  <si>
    <t>Plosca urinara femei</t>
  </si>
  <si>
    <t>Pungi urina cu valva</t>
  </si>
  <si>
    <t>33141615-4 - Pungi pentru recoltarea urinei (Rev.2)</t>
  </si>
  <si>
    <t>Role cearceaf 2 strat hartie</t>
  </si>
  <si>
    <t>33771000-5 - Articole igienico-sanitare din hartie (Rev.2)</t>
  </si>
  <si>
    <t>Urinare barbati</t>
  </si>
  <si>
    <t>33141600-6 - Recipiente si pungi de recoltare, drenaj si truse (Rev.2)</t>
  </si>
  <si>
    <t>Diverse consumabile medicale</t>
  </si>
  <si>
    <t>33141000-0 - Consumabile medicale nechimice de unica folosinta si consumabile hematologice (Rev.2)</t>
  </si>
  <si>
    <t>Vacutainer dop mov k3edta</t>
  </si>
  <si>
    <t>33141300-3 - Dispozitive de punctie venoasa si de prelevare de sange (Rev.2)</t>
  </si>
  <si>
    <t>Ace spinale diferite dimensiuni</t>
  </si>
  <si>
    <t>19640000-4 - Saci si pungi din polietilena pentru deseuri (Rev.2); 33711900-6 - Sapun (Rev.2);  39525800-6 - Carpe pentru curatat (Rev.2);  39220000-0 - Echipament de bucatarie, articole de menaj si de uz casnic si articole de catering (Rev.2); 
 39800000-0 - Produse de curatat si de lustruit (Rev.2); 
 44511120-2 - Lopeti (Rev.2);44617000-8 - Cutii (Rev.2); 33141123-8 - Recipiente pentru ace (Rev.2); 18424000-7 - Manusi (Rev.2);  33761000-2 - Hartie igienica (Rev.2); 
 39831200-8 - Detergenti (Rev.2); 
 39224320-7 - Bureti (Rev.2);</t>
  </si>
  <si>
    <t>Reactivi pentru determinarea grupelor sanguine</t>
  </si>
  <si>
    <t xml:space="preserve">33696100-6  - Reactivi pentru determinarea grupelor sanguine (Rev.2) </t>
  </si>
  <si>
    <t>Parafina cu ceara</t>
  </si>
  <si>
    <t xml:space="preserve">09221200-6  - Parafina (Rev.2) </t>
  </si>
  <si>
    <t>Toluen</t>
  </si>
  <si>
    <t>24321222-2  - Toluen (Rev.2)</t>
  </si>
  <si>
    <t>33696500-0 - Reactivi de laborator (Rev.2)</t>
  </si>
  <si>
    <t>Indicator sterilizare Bowie Dick</t>
  </si>
  <si>
    <t>33124131-2  - Benzi reactive (Rev.2)</t>
  </si>
  <si>
    <t>Kit hematoxina-eozina apoasa</t>
  </si>
  <si>
    <t>24200000-6  - Coloranti si pigmenti (Rev.2)</t>
  </si>
  <si>
    <t>Diverse produse de laborator</t>
  </si>
  <si>
    <t>CAVAL GABRIELA</t>
  </si>
  <si>
    <t>Alte produse antiseptice si dezinfectante</t>
  </si>
  <si>
    <t>33631600-8  - Antiseptice si dezinfectante (Rev.2)</t>
  </si>
  <si>
    <t>Uniforme si echipament</t>
  </si>
  <si>
    <t xml:space="preserve">33199000-1 - Imbracaminte pentru personalul medical (Rev.2);18143000-3  - Echipamente de protectie (Rev.2); 18318200-3  - Capoate (Rev.2); 18318500-6  - Camasi de noapte pentru femei (Rev.2) </t>
  </si>
  <si>
    <t>Lenjerie si accesorii de pat</t>
  </si>
  <si>
    <t>39512500-9 - Fete de perna (Rev.2);   39518000-6 - Lenjerie de spital (Rev.2); 39518200-8  - Cearsafuri pentru sali de operatie (Rev.2);18318300-4  - Pijamale (Rev.2); 39516120-9  - Perne (Rev.2); 39512300-7  - Huse pentru saltele (Rev.2); 39143112-4  - Saltele (Rev.2)</t>
  </si>
  <si>
    <t>Diverse obiecte de inventar</t>
  </si>
  <si>
    <t>44423000-1 Diverse articole (Rev.2)</t>
  </si>
  <si>
    <t>Geanta de transport sange si derivate sangvine</t>
  </si>
  <si>
    <t xml:space="preserve">39221150-3  - Recipiente izoterme (Rev.2) </t>
  </si>
  <si>
    <t>Deplasari interne</t>
  </si>
  <si>
    <t>Diverse materiale de laborator</t>
  </si>
  <si>
    <t>22993200-9 - Hartie sau carton termosensibile (Rev.2); 33198000-4 - Articole din hartie pentru spitale (Rev.2); 38410000-2 - Instrumente de masurat (Rev.2); 33124131-2 - Benzi reactive (Rev.2); 33141411-4 - Scalpele si lame (Rev.2); 33793000-5 - Sticlarie pentru laborator (Rev.2); 33140000-3 - Consumabile medicale (Rev.2); 33198200-6 - Saculete sau plicuri din hartie pentru sterilizare (Rev.2)</t>
  </si>
  <si>
    <t>Carti, publicatii si materiale documentare</t>
  </si>
  <si>
    <t>Servicii de medicina muncii</t>
  </si>
  <si>
    <t>85147000-1 - Servicii de medicina muncii (Rev.2)</t>
  </si>
  <si>
    <t>Servicii externe pentru situatii de urgenta</t>
  </si>
  <si>
    <t>66515100-4 - Servicii de asigurare impotriva incendiilor (Rev.2)</t>
  </si>
  <si>
    <t>Servicii in domeniul securitatii si sanatatii in munca</t>
  </si>
  <si>
    <t>98300000-6 - Servicii diverse (Rev.2)</t>
  </si>
  <si>
    <t>Lapte praf</t>
  </si>
  <si>
    <t>15511700-0 - Lapte praf (Rev.2)</t>
  </si>
  <si>
    <t>Servicii de protectie impotriva radiatiilor</t>
  </si>
  <si>
    <t>90721600-3 - Servicii de protectie impotriva radiatiilor (Rev.2)</t>
  </si>
  <si>
    <t>Prime de asigurare non-viata</t>
  </si>
  <si>
    <t>Chirii</t>
  </si>
  <si>
    <t>Alte cheltuieli cu bunuri si servicii</t>
  </si>
  <si>
    <t>85140000-2 - Diverse servicii de sanatate (Rev.2)</t>
  </si>
  <si>
    <t>Furnizare Gaze medicale</t>
  </si>
  <si>
    <t>24111500-0 - Gaze medicale (Rev.2)</t>
  </si>
  <si>
    <t>Antiseptice si dezinfectante</t>
  </si>
  <si>
    <t xml:space="preserve">33631600-8 - Antiseptice si dezinfectante (Rev.2) </t>
  </si>
  <si>
    <t>CONSUMABILE MEDICALE</t>
  </si>
  <si>
    <t>Acord - cadru de furnizare medicamente uz uman divizate pe 111 loturi</t>
  </si>
  <si>
    <t xml:space="preserve">33690000-3 - Diverse medicamente (Rev.2) </t>
  </si>
  <si>
    <t>72600000-6 - Servicii de asistenta si de consultanta informatica (Rev. 2)</t>
  </si>
  <si>
    <t>Prestari servicii de paza, patrulare, monitorizare si supraveghere</t>
  </si>
  <si>
    <t>79713000-5 Servicii de paza (Rev. 2)</t>
  </si>
  <si>
    <t>Prestari servicii de spalatorie si curatatorie uscata</t>
  </si>
  <si>
    <t>98310000-9 - Servicii de spalatorie si curataorie uscata (Rev. 2)</t>
  </si>
  <si>
    <t>20.01.09 Materiale si prestari de servicii cu caracter functional cu TVA</t>
  </si>
  <si>
    <t xml:space="preserve">TOTAL 20.01.09 Materiale si prestari de servicii cu caracter functional </t>
  </si>
  <si>
    <t>20.01.30 Alte bunuri si servicii pentru intretinere si functionare cu TVA</t>
  </si>
  <si>
    <t>TOTAL 20.01.30 Alte bunuri si servicii pentru intretinere si functionare</t>
  </si>
  <si>
    <t xml:space="preserve">Prestari servicii de catering </t>
  </si>
  <si>
    <t>55523000-2 - Servicii de catering pentru alte societati sau institutii (Rev. 2)</t>
  </si>
  <si>
    <t>IANUARIE-SEPTEMBRIE</t>
  </si>
  <si>
    <t>20.03.01 Hrana pentru oameni</t>
  </si>
  <si>
    <t>TOTAL 20.03.01 Hrana pentru oameni</t>
  </si>
  <si>
    <t>Acord - cadru de furnizare medicamente uz uman divizate pe 67 loturi</t>
  </si>
  <si>
    <t>Acord – cadru de furnizare medicamente uz uman divizate pe 50 loturi</t>
  </si>
  <si>
    <t>20.04.01 Medicamente cu TVA</t>
  </si>
  <si>
    <t>TOTAL 20.04.01 Medicamente</t>
  </si>
  <si>
    <t>20.01.09 Materiale si prestari de servicii cu caracter functional cu TVA achizitii directe</t>
  </si>
  <si>
    <t>20.04.02 Materiale sanitare cu TVA</t>
  </si>
  <si>
    <t>TOTAL 20.04.02 Materiale sanitare</t>
  </si>
  <si>
    <t>20.04.03 Reactivi cu TVA</t>
  </si>
  <si>
    <t>TOTAL 20.04.03 Reactivi</t>
  </si>
  <si>
    <t>Furnizare reactivi</t>
  </si>
  <si>
    <t>33696000-5 - Reactivi si produse de contrast (Rev.2)</t>
  </si>
  <si>
    <t>20.04.04 Dezinfectanti cu TVA</t>
  </si>
  <si>
    <t>TOTAL 20.04.04 Dezinfectanti</t>
  </si>
  <si>
    <t>20.04.04 Dezinfectanti achizitii directe cu TVA</t>
  </si>
  <si>
    <t>20.04.03 Reactivi achizitii directe cu TVA</t>
  </si>
  <si>
    <t>20.04.02 Materiale sanitare achizitii directe cu TVA</t>
  </si>
  <si>
    <t>20.04.01 Medicamente achizitii directe cu TVA</t>
  </si>
  <si>
    <t>20.01.30 Alte bunuri si servicii pentru intretinere si functionare achizitii directe cu TVA</t>
  </si>
  <si>
    <t>TOTAL BUNURI SI SERVICII</t>
  </si>
  <si>
    <t>TOTAL ART. 20.01.01 FURNITURI DE BIROU CU TVA</t>
  </si>
  <si>
    <t>TOTAL ART. 20.01.02 MATERIALE DE CURATENIE CU TVA</t>
  </si>
  <si>
    <t>TOTAL ART. 20.01.03 ILUMINAT, INCALZIT SI FORTA MOTRICA CU TVA</t>
  </si>
  <si>
    <t>TOTAL ART. 20.01.04 APA, CANAL SI SALUBRITATE CU TVA</t>
  </si>
  <si>
    <t>TOTAL ART. 20.01.05 CARBURANTI SI LUBRIFIANTI CU TVA</t>
  </si>
  <si>
    <t>TOTAL ART. 20.01.06 PIESE DE SCHIMB CU TVA</t>
  </si>
  <si>
    <t>TOTAL ART. 20.01.08 POSTA, TELECOMUNICATII, RADIO, TV SI INTERNET CU TVA</t>
  </si>
  <si>
    <t>TOTAL ART. 20.01.09 MATERIALE SI PRESTARI SERVICII CU CARACTER FUNCTIONAL CU TVA</t>
  </si>
  <si>
    <t>TOTAL ART. 20.01.30 ALTE BUNURI SI SERVICII PENTRU INTRETINERE SI FUNCTIONARE CU TVA</t>
  </si>
  <si>
    <t>TOTAL ART. 20.02 REPARATII CURENTE CU TVA</t>
  </si>
  <si>
    <t>TOTAL ART. 20.04.01 MEDICAMENTE CU TVA</t>
  </si>
  <si>
    <t>TOTAL ART. 20.04.02 MATERIALE SANITARE CU TVA</t>
  </si>
  <si>
    <t>TOTAL ART. 20.04.03 REACTIVI CU TVA</t>
  </si>
  <si>
    <t>TOTAL ART. 20.04.04 DEZINFECTANTI CU TVA</t>
  </si>
  <si>
    <t>TOTAL ART. 20.05.01 UNIFORME SI ECHIPAMENT CU TVA</t>
  </si>
  <si>
    <t>TOTAL ART. 20.05.03 LENJERIE SI ACCESORII DE PAT CU TVA</t>
  </si>
  <si>
    <t>TOTAL ART. 20.05.30 ALTE OBIECTE DE INVENTAR CU TVA</t>
  </si>
  <si>
    <t>TOTAL ART. 20.06.01 DEPLASARI INTERNE, DETASARI, TRANSFERARI CU TVA</t>
  </si>
  <si>
    <t>TOTAL ART. 20.09 MATERIALE DE LABORATOR CU TVA</t>
  </si>
  <si>
    <t>TOTAL ART. 20.11 CARTI, PUBLICATII SI MATERIALE DOCUMENTARE CU TVA</t>
  </si>
  <si>
    <t>TOTAL ART. 20.14 PROTECTIA MUNCII CU TVA</t>
  </si>
  <si>
    <t>TOTAL ART. 20.30.03 PRIME DE ASIGURARE NON-VIATA CU TVA</t>
  </si>
  <si>
    <t>TOTAL ART. 20.30.04 CHIRII CU TVA</t>
  </si>
  <si>
    <t>TOTAL ART. 20.30.30 ALTE CHELTUIELI CU TVA</t>
  </si>
  <si>
    <t>VALOARE TOTALA CU TVA</t>
  </si>
  <si>
    <t>INITIALA</t>
  </si>
  <si>
    <t>Director financiar contabil,</t>
  </si>
  <si>
    <t>Director medical,</t>
  </si>
  <si>
    <t>Compartiment intern specializat în domeniul achizitiilor publice/persoana desemnata</t>
  </si>
  <si>
    <t>Ec. Ligia Zamfira</t>
  </si>
  <si>
    <t>Dr. Maris Claudia</t>
  </si>
  <si>
    <t>Ref. Spec. Irina Cinciu</t>
  </si>
  <si>
    <t>INSTITUTUL NATIONAL DE NEUROLOGIE SI BOLI NEUROVASCULARE</t>
  </si>
  <si>
    <t>COD FISCAL 7548010</t>
  </si>
  <si>
    <t>Se aproba,</t>
  </si>
  <si>
    <t>Manager,</t>
  </si>
  <si>
    <t>Dr. Corneliu Toader</t>
  </si>
  <si>
    <t xml:space="preserve">Programul Anual al Achizițiilor Publice (PAAP) pentru anul 2020 INITIAL </t>
  </si>
  <si>
    <t>Anexa la Programul Anual al Achizițiilor Publice pentru anul 2020 (Achiziții directe) INITIAL</t>
  </si>
  <si>
    <t>Prestari servicii de asistenta si consultanta software pentru programul Hospital Manager Suite si Hospital Management Solution</t>
  </si>
  <si>
    <t>Diverse servicii pentru intretinere si functionare</t>
  </si>
  <si>
    <t>Paturi ATI</t>
  </si>
  <si>
    <t>33100000-1 Echipamente medicale (Rev.2)</t>
  </si>
  <si>
    <t>MAI-DECEMBRIE</t>
  </si>
  <si>
    <t>70.01.02 Masini si echipamente medicale cu TVA</t>
  </si>
  <si>
    <t>Masa operatie</t>
  </si>
  <si>
    <t>Lampa scialitica</t>
  </si>
  <si>
    <t>Endoscop neurochirurgical</t>
  </si>
  <si>
    <t>Consolidare Pavilion Anatomie patologica, necropsie, biblioteca si amfiteatru</t>
  </si>
  <si>
    <t>70.01.01 Constructii cu TVA</t>
  </si>
  <si>
    <t>TOTAL 70.01 Active fixe cu TVA</t>
  </si>
  <si>
    <t>din care: Mijloace fixe</t>
  </si>
  <si>
    <t>09.01.2020</t>
  </si>
  <si>
    <t>Microscop</t>
  </si>
  <si>
    <t>Instrumentar morga</t>
  </si>
  <si>
    <t>33169000-2 Dispozitive si instrumente pentru bloc operator (rev. 2)</t>
  </si>
  <si>
    <t>Instrumentar neurochirurgie</t>
  </si>
  <si>
    <t>33162000-3 - Dispozitive si instrumente pentru blocul operator (Rev.2)</t>
  </si>
  <si>
    <t>Frigidere</t>
  </si>
  <si>
    <t>39711130-9 - Frigidere (Rev.2)</t>
  </si>
  <si>
    <t>Carucior curatenie profesional</t>
  </si>
  <si>
    <t>34911100-7 - Carucioare (Rev.2)</t>
  </si>
  <si>
    <t>Masa instrumentar</t>
  </si>
  <si>
    <t>33190000-8 - Diverse aparate si produse medicale (Rev.2)</t>
  </si>
  <si>
    <t>Troliu medicatie si instrumente</t>
  </si>
  <si>
    <t xml:space="preserve">Noptiere metalice uz medical cu masa rabatabila </t>
  </si>
  <si>
    <t>39143123-4 - Noptiere (Rev.2)</t>
  </si>
  <si>
    <t>Masa colt</t>
  </si>
  <si>
    <t>39122100-4 - Dulapuri (Rev.2)</t>
  </si>
  <si>
    <t>Masa statie monitorizare</t>
  </si>
  <si>
    <t>Vestiar metalic cu doua usi</t>
  </si>
  <si>
    <t>Dulapuri</t>
  </si>
  <si>
    <t>Aer conditionat</t>
  </si>
  <si>
    <t>39717200-3 Aparate de aer conditionat (Rev.2)</t>
  </si>
  <si>
    <t>Containere si pubele</t>
  </si>
  <si>
    <t xml:space="preserve"> 34928480-6 Containere si pubele de deseuri (Rev.2)</t>
  </si>
  <si>
    <t>Monitoare</t>
  </si>
  <si>
    <t>33195100-4 Monitoare (Rev.2)</t>
  </si>
  <si>
    <t>Imprimanta</t>
  </si>
  <si>
    <t>30232110-8 Imprimante laser (Rev.2)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</si>
</sst>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409]d\-mmm\-yy;@"/>
    <numFmt numFmtId="166" formatCode="#,##0.00\ [$RON]"/>
    <numFmt numFmtId="167" formatCode="[$$-409]#,##0.00"/>
    <numFmt numFmtId="168" formatCode="[$-409]mmmm\-yy;@"/>
    <numFmt numFmtId="169" formatCode="[$RON]\ #,##0.00"/>
    <numFmt numFmtId="170" formatCode="d/m/yyyy;@"/>
  </numFmts>
  <fonts count="29" x14ac:knownFonts="1">
    <font>
      <sz val="11"/>
      <color theme="1"/>
      <name val="Calibri"/>
      <family val="2"/>
      <scheme val="minor"/>
    </font>
    <font>
      <b/>
      <sz val="11"/>
      <color theme="1"/>
      <name val="Calibri"/>
      <family val="2"/>
      <charset val="238"/>
      <scheme val="minor"/>
    </font>
    <font>
      <sz val="10"/>
      <name val="Arial"/>
      <family val="2"/>
      <charset val="238"/>
    </font>
    <font>
      <b/>
      <sz val="10"/>
      <name val="Calibri"/>
      <family val="2"/>
      <charset val="238"/>
      <scheme val="minor"/>
    </font>
    <font>
      <sz val="10"/>
      <name val="Calibri"/>
      <family val="2"/>
      <charset val="238"/>
      <scheme val="minor"/>
    </font>
    <font>
      <u/>
      <sz val="11"/>
      <color theme="10"/>
      <name val="Calibri"/>
      <family val="2"/>
      <charset val="238"/>
      <scheme val="minor"/>
    </font>
    <font>
      <b/>
      <sz val="10"/>
      <color rgb="FF000000"/>
      <name val="Calibri"/>
      <family val="2"/>
      <charset val="238"/>
      <scheme val="minor"/>
    </font>
    <font>
      <sz val="10"/>
      <color rgb="FF000000"/>
      <name val="Calibri"/>
      <family val="2"/>
      <charset val="238"/>
      <scheme val="minor"/>
    </font>
    <font>
      <b/>
      <i/>
      <sz val="11"/>
      <color theme="1"/>
      <name val="Calibri"/>
      <family val="2"/>
      <charset val="238"/>
      <scheme val="minor"/>
    </font>
    <font>
      <i/>
      <sz val="11"/>
      <color theme="1"/>
      <name val="Calibri"/>
      <family val="2"/>
      <charset val="238"/>
      <scheme val="minor"/>
    </font>
    <font>
      <sz val="14"/>
      <color theme="1"/>
      <name val="Calibri"/>
      <family val="2"/>
      <charset val="238"/>
      <scheme val="minor"/>
    </font>
    <font>
      <i/>
      <sz val="10"/>
      <name val="Calibri"/>
      <family val="2"/>
      <charset val="238"/>
      <scheme val="minor"/>
    </font>
    <font>
      <i/>
      <sz val="8"/>
      <color rgb="FF000000"/>
      <name val="Calibri"/>
      <family val="2"/>
      <charset val="238"/>
      <scheme val="minor"/>
    </font>
    <font>
      <b/>
      <sz val="12"/>
      <color theme="1"/>
      <name val="Calibri"/>
      <family val="2"/>
      <charset val="238"/>
      <scheme val="minor"/>
    </font>
    <font>
      <b/>
      <sz val="11"/>
      <color theme="1"/>
      <name val="Calibri"/>
      <family val="2"/>
      <charset val="238"/>
    </font>
    <font>
      <b/>
      <sz val="9"/>
      <color rgb="FF000000"/>
      <name val="Calibri"/>
      <family val="2"/>
      <charset val="238"/>
      <scheme val="minor"/>
    </font>
    <font>
      <b/>
      <sz val="11"/>
      <color theme="1"/>
      <name val="Calibri"/>
      <family val="2"/>
      <scheme val="minor"/>
    </font>
    <font>
      <sz val="10"/>
      <color theme="1"/>
      <name val="Calibri"/>
      <family val="2"/>
      <scheme val="minor"/>
    </font>
    <font>
      <b/>
      <sz val="10"/>
      <color theme="1"/>
      <name val="Calibri"/>
      <family val="2"/>
      <scheme val="minor"/>
    </font>
    <font>
      <sz val="10"/>
      <name val="Arial"/>
      <family val="2"/>
    </font>
    <font>
      <sz val="10"/>
      <color indexed="8"/>
      <name val="Calibri"/>
      <family val="2"/>
      <scheme val="minor"/>
    </font>
    <font>
      <sz val="10"/>
      <name val="Calibri"/>
      <family val="2"/>
      <scheme val="minor"/>
    </font>
    <font>
      <sz val="10"/>
      <color rgb="FF000000"/>
      <name val="Calibri"/>
      <family val="2"/>
      <scheme val="minor"/>
    </font>
    <font>
      <b/>
      <i/>
      <u/>
      <sz val="11"/>
      <color theme="1"/>
      <name val="Calibri"/>
      <family val="2"/>
      <scheme val="minor"/>
    </font>
    <font>
      <b/>
      <i/>
      <sz val="10"/>
      <color theme="1"/>
      <name val="Calibri"/>
      <family val="2"/>
      <scheme val="minor"/>
    </font>
    <font>
      <i/>
      <sz val="10"/>
      <color theme="1"/>
      <name val="Calibri"/>
      <family val="2"/>
      <scheme val="minor"/>
    </font>
    <font>
      <sz val="10"/>
      <color theme="1"/>
      <name val="Calibri"/>
      <family val="2"/>
      <charset val="238"/>
      <scheme val="minor"/>
    </font>
    <font>
      <sz val="10"/>
      <name val="Calibri"/>
      <family val="2"/>
    </font>
    <font>
      <sz val="10"/>
      <color theme="1"/>
      <name val="Calibri"/>
      <family val="2"/>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0.34998626667073579"/>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style="thin">
        <color indexed="64"/>
      </right>
      <top style="thick">
        <color indexed="64"/>
      </top>
      <bottom/>
      <diagonal/>
    </border>
    <border>
      <left style="thin">
        <color indexed="64"/>
      </left>
      <right/>
      <top style="thick">
        <color indexed="64"/>
      </top>
      <bottom style="thin">
        <color indexed="64"/>
      </bottom>
      <diagonal/>
    </border>
    <border>
      <left style="medium">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0" fontId="2" fillId="0" borderId="0"/>
    <xf numFmtId="0" fontId="5" fillId="0" borderId="0" applyNumberFormat="0" applyFill="0" applyBorder="0" applyAlignment="0" applyProtection="0"/>
    <xf numFmtId="0" fontId="19" fillId="0" borderId="0"/>
  </cellStyleXfs>
  <cellXfs count="130">
    <xf numFmtId="0" fontId="0" fillId="0" borderId="0" xfId="0"/>
    <xf numFmtId="0" fontId="0" fillId="0" borderId="0" xfId="0" applyFont="1"/>
    <xf numFmtId="0" fontId="3" fillId="0" borderId="0" xfId="1" applyFont="1" applyFill="1"/>
    <xf numFmtId="0" fontId="4" fillId="0" borderId="0" xfId="1" applyFont="1" applyFill="1"/>
    <xf numFmtId="164" fontId="0" fillId="0" borderId="0" xfId="0" applyNumberFormat="1" applyFont="1"/>
    <xf numFmtId="0" fontId="5" fillId="0" borderId="0" xfId="2" applyFont="1"/>
    <xf numFmtId="0" fontId="5" fillId="0" borderId="0" xfId="2" applyFont="1" applyAlignment="1" applyProtection="1"/>
    <xf numFmtId="0" fontId="5" fillId="0" borderId="0" xfId="2" quotePrefix="1"/>
    <xf numFmtId="0" fontId="6" fillId="0" borderId="1" xfId="0" applyFont="1" applyBorder="1" applyAlignment="1">
      <alignment horizontal="center" vertical="center" wrapText="1"/>
    </xf>
    <xf numFmtId="4" fontId="0" fillId="0" borderId="0" xfId="0" applyNumberFormat="1" applyFont="1"/>
    <xf numFmtId="0" fontId="7" fillId="0" borderId="1" xfId="0" applyFont="1" applyBorder="1" applyAlignment="1">
      <alignment horizontal="center" vertical="center" wrapText="1"/>
    </xf>
    <xf numFmtId="165" fontId="7" fillId="0" borderId="1" xfId="0" applyNumberFormat="1" applyFont="1" applyBorder="1" applyAlignment="1">
      <alignment horizontal="center" vertical="center" wrapText="1"/>
    </xf>
    <xf numFmtId="0" fontId="7" fillId="0" borderId="1" xfId="0" applyFont="1" applyBorder="1" applyAlignment="1">
      <alignment vertical="center" wrapText="1"/>
    </xf>
    <xf numFmtId="4" fontId="0" fillId="0" borderId="1" xfId="0" applyNumberFormat="1" applyFont="1" applyBorder="1"/>
    <xf numFmtId="165" fontId="6" fillId="0" borderId="1" xfId="0" applyNumberFormat="1" applyFont="1" applyBorder="1" applyAlignment="1">
      <alignment horizontal="center" vertical="center" wrapText="1"/>
    </xf>
    <xf numFmtId="0" fontId="6" fillId="0" borderId="1" xfId="0" applyFont="1" applyBorder="1" applyAlignment="1">
      <alignment vertical="center" wrapText="1"/>
    </xf>
    <xf numFmtId="0" fontId="4" fillId="0" borderId="0" xfId="1" applyFont="1" applyAlignment="1">
      <alignment wrapText="1"/>
    </xf>
    <xf numFmtId="0" fontId="0" fillId="0" borderId="0" xfId="0" applyFont="1" applyAlignment="1">
      <alignment wrapText="1"/>
    </xf>
    <xf numFmtId="0" fontId="0" fillId="0" borderId="0" xfId="0" applyFont="1" applyAlignment="1">
      <alignment horizontal="center" vertical="center"/>
    </xf>
    <xf numFmtId="0" fontId="0" fillId="0" borderId="0" xfId="0" applyFont="1" applyAlignment="1"/>
    <xf numFmtId="0" fontId="12" fillId="5" borderId="1" xfId="0" applyFont="1" applyFill="1" applyBorder="1" applyAlignment="1">
      <alignment horizontal="center" vertical="center" wrapText="1"/>
    </xf>
    <xf numFmtId="0" fontId="1" fillId="0" borderId="0" xfId="0" applyFont="1" applyAlignment="1">
      <alignment vertical="center"/>
    </xf>
    <xf numFmtId="0" fontId="13" fillId="0" borderId="0" xfId="0" applyFont="1" applyAlignment="1">
      <alignment vertical="center"/>
    </xf>
    <xf numFmtId="0" fontId="14" fillId="0" borderId="1" xfId="0" applyFont="1" applyBorder="1" applyAlignment="1">
      <alignment vertical="center" wrapText="1"/>
    </xf>
    <xf numFmtId="165" fontId="12" fillId="5" borderId="1" xfId="0" applyNumberFormat="1" applyFont="1" applyFill="1" applyBorder="1" applyAlignment="1">
      <alignment horizontal="center" vertical="center" wrapText="1"/>
    </xf>
    <xf numFmtId="0" fontId="15" fillId="0" borderId="1" xfId="0" applyFont="1" applyBorder="1" applyAlignment="1">
      <alignment horizontal="center" vertical="center" wrapText="1"/>
    </xf>
    <xf numFmtId="0" fontId="12" fillId="5" borderId="10" xfId="0" applyFont="1" applyFill="1" applyBorder="1" applyAlignment="1">
      <alignment horizontal="center" vertical="center" wrapText="1"/>
    </xf>
    <xf numFmtId="0" fontId="15" fillId="0" borderId="1" xfId="0" applyFont="1" applyFill="1" applyBorder="1" applyAlignment="1">
      <alignment horizontal="center" vertical="center" wrapText="1"/>
    </xf>
    <xf numFmtId="0" fontId="0" fillId="0" borderId="1" xfId="0" applyFont="1" applyBorder="1"/>
    <xf numFmtId="164" fontId="0" fillId="0" borderId="1" xfId="0" applyNumberFormat="1" applyFont="1" applyBorder="1"/>
    <xf numFmtId="0" fontId="10" fillId="0" borderId="0" xfId="0" applyFont="1" applyAlignment="1">
      <alignment horizontal="center" wrapText="1"/>
    </xf>
    <xf numFmtId="0" fontId="17" fillId="0" borderId="1" xfId="0" applyFont="1" applyFill="1" applyBorder="1" applyAlignment="1">
      <alignment horizontal="left" vertical="center" wrapText="1"/>
    </xf>
    <xf numFmtId="166" fontId="17" fillId="0" borderId="1" xfId="0" applyNumberFormat="1" applyFont="1" applyBorder="1" applyAlignment="1">
      <alignment horizontal="center" vertical="center" wrapText="1"/>
    </xf>
    <xf numFmtId="167" fontId="17" fillId="0" borderId="1" xfId="0" applyNumberFormat="1" applyFont="1" applyBorder="1" applyAlignment="1">
      <alignment horizontal="center" vertical="center" wrapText="1"/>
    </xf>
    <xf numFmtId="168" fontId="17" fillId="0" borderId="1" xfId="0" applyNumberFormat="1" applyFont="1" applyBorder="1" applyAlignment="1">
      <alignment horizontal="center" vertical="center"/>
    </xf>
    <xf numFmtId="168" fontId="17" fillId="0" borderId="1" xfId="0" applyNumberFormat="1" applyFont="1" applyBorder="1" applyAlignment="1">
      <alignment horizontal="center" vertical="center" wrapText="1"/>
    </xf>
    <xf numFmtId="0" fontId="17" fillId="0" borderId="0" xfId="0" applyFont="1"/>
    <xf numFmtId="0" fontId="17" fillId="0" borderId="0" xfId="0" applyFont="1" applyAlignment="1"/>
    <xf numFmtId="0" fontId="18" fillId="0" borderId="1" xfId="0" applyFont="1" applyFill="1" applyBorder="1" applyAlignment="1">
      <alignment horizontal="center" vertical="center" wrapText="1"/>
    </xf>
    <xf numFmtId="0" fontId="20" fillId="0" borderId="1" xfId="0" applyFont="1" applyBorder="1" applyAlignment="1">
      <alignment horizontal="left" vertical="center" wrapText="1"/>
    </xf>
    <xf numFmtId="0" fontId="21" fillId="0" borderId="1" xfId="0" applyFont="1" applyFill="1" applyBorder="1" applyAlignment="1">
      <alignment vertical="center" wrapText="1"/>
    </xf>
    <xf numFmtId="0" fontId="21" fillId="0" borderId="1" xfId="0" applyFont="1" applyBorder="1" applyAlignment="1">
      <alignment vertical="center" wrapText="1"/>
    </xf>
    <xf numFmtId="0" fontId="22" fillId="0" borderId="1" xfId="0" applyFont="1" applyFill="1" applyBorder="1" applyAlignment="1">
      <alignment vertical="center" wrapText="1"/>
    </xf>
    <xf numFmtId="0" fontId="21" fillId="0" borderId="1" xfId="3" applyFont="1" applyFill="1" applyBorder="1" applyAlignment="1">
      <alignment horizontal="left" vertical="center" wrapText="1"/>
    </xf>
    <xf numFmtId="0" fontId="21" fillId="0" borderId="1"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1" xfId="0" applyFont="1" applyFill="1" applyBorder="1"/>
    <xf numFmtId="0" fontId="18" fillId="3" borderId="15" xfId="0" applyFont="1" applyFill="1" applyBorder="1" applyAlignment="1">
      <alignment vertical="center" wrapText="1"/>
    </xf>
    <xf numFmtId="0" fontId="18" fillId="3" borderId="6" xfId="0" applyFont="1" applyFill="1" applyBorder="1" applyAlignment="1">
      <alignment horizontal="center" vertical="center" wrapText="1"/>
    </xf>
    <xf numFmtId="0" fontId="18" fillId="3" borderId="16" xfId="0" applyFont="1" applyFill="1" applyBorder="1" applyAlignment="1">
      <alignment horizontal="center" vertical="center" wrapText="1"/>
    </xf>
    <xf numFmtId="0" fontId="18" fillId="3" borderId="4"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8" xfId="0" applyFont="1" applyFill="1" applyBorder="1" applyAlignment="1">
      <alignment horizontal="center" vertical="center" wrapText="1"/>
    </xf>
    <xf numFmtId="166" fontId="17" fillId="0" borderId="1" xfId="0" applyNumberFormat="1" applyFont="1" applyFill="1" applyBorder="1" applyAlignment="1">
      <alignment horizontal="center" vertical="center" wrapText="1"/>
    </xf>
    <xf numFmtId="0" fontId="22" fillId="0" borderId="1" xfId="0" applyFont="1" applyBorder="1" applyAlignment="1">
      <alignment vertical="center" wrapText="1"/>
    </xf>
    <xf numFmtId="0" fontId="17" fillId="0" borderId="1" xfId="0" applyFont="1" applyBorder="1" applyAlignment="1">
      <alignment vertical="center" wrapText="1"/>
    </xf>
    <xf numFmtId="0" fontId="20" fillId="0" borderId="1" xfId="0" applyFont="1" applyBorder="1" applyAlignment="1">
      <alignment vertical="center" wrapText="1"/>
    </xf>
    <xf numFmtId="0" fontId="17" fillId="0" borderId="1" xfId="0" applyFont="1" applyBorder="1" applyAlignment="1">
      <alignment wrapText="1"/>
    </xf>
    <xf numFmtId="166" fontId="16" fillId="0" borderId="1" xfId="0" applyNumberFormat="1" applyFont="1" applyBorder="1"/>
    <xf numFmtId="0" fontId="10" fillId="0" borderId="0" xfId="0" applyFont="1" applyAlignment="1">
      <alignment horizontal="center" wrapText="1"/>
    </xf>
    <xf numFmtId="166" fontId="18" fillId="0" borderId="1" xfId="0" applyNumberFormat="1" applyFont="1" applyBorder="1" applyAlignment="1">
      <alignment horizontal="center" vertical="center" wrapText="1"/>
    </xf>
    <xf numFmtId="0" fontId="19" fillId="0" borderId="0" xfId="0" applyFont="1" applyAlignment="1">
      <alignment horizontal="center" vertical="center"/>
    </xf>
    <xf numFmtId="0" fontId="19" fillId="0" borderId="0" xfId="0" applyFont="1" applyAlignment="1">
      <alignment horizontal="center"/>
    </xf>
    <xf numFmtId="0" fontId="19" fillId="0" borderId="0" xfId="0" applyFont="1"/>
    <xf numFmtId="0" fontId="19" fillId="0" borderId="0" xfId="0" applyFont="1" applyAlignment="1">
      <alignment vertical="center" wrapText="1"/>
    </xf>
    <xf numFmtId="0" fontId="19" fillId="0" borderId="0" xfId="0" applyFont="1" applyAlignment="1" applyProtection="1">
      <alignment horizontal="center" vertical="center" wrapText="1"/>
      <protection locked="0"/>
    </xf>
    <xf numFmtId="169" fontId="16" fillId="0" borderId="0" xfId="0" applyNumberFormat="1" applyFont="1"/>
    <xf numFmtId="0" fontId="19" fillId="0" borderId="0" xfId="0" applyFont="1" applyAlignment="1">
      <alignment vertical="center"/>
    </xf>
    <xf numFmtId="0" fontId="0" fillId="0" borderId="0" xfId="0" applyAlignment="1">
      <alignment horizontal="center" vertical="center" wrapText="1"/>
    </xf>
    <xf numFmtId="4" fontId="0" fillId="0" borderId="0" xfId="0" applyNumberFormat="1" applyAlignment="1">
      <alignment vertical="center" wrapText="1"/>
    </xf>
    <xf numFmtId="0" fontId="0" fillId="0" borderId="0" xfId="0" applyAlignment="1">
      <alignment vertical="center" wrapText="1"/>
    </xf>
    <xf numFmtId="170" fontId="0" fillId="0" borderId="0" xfId="0" applyNumberFormat="1" applyAlignment="1">
      <alignment vertical="center" wrapText="1"/>
    </xf>
    <xf numFmtId="0" fontId="21" fillId="0" borderId="18" xfId="0" applyFont="1" applyFill="1" applyBorder="1" applyAlignment="1">
      <alignment vertical="center" wrapText="1"/>
    </xf>
    <xf numFmtId="169" fontId="0" fillId="0" borderId="0" xfId="0" applyNumberFormat="1" applyFont="1"/>
    <xf numFmtId="0" fontId="17" fillId="0" borderId="0" xfId="0" applyFont="1" applyAlignment="1">
      <alignment horizontal="center" vertical="center" wrapText="1"/>
    </xf>
    <xf numFmtId="4" fontId="17" fillId="0" borderId="0" xfId="0" applyNumberFormat="1" applyFont="1" applyAlignment="1">
      <alignment vertical="center" wrapText="1"/>
    </xf>
    <xf numFmtId="0" fontId="17" fillId="0" borderId="0" xfId="0" applyFont="1" applyAlignment="1">
      <alignment vertical="center" wrapText="1"/>
    </xf>
    <xf numFmtId="170" fontId="17" fillId="0" borderId="0" xfId="0" applyNumberFormat="1" applyFont="1" applyAlignment="1">
      <alignment vertical="center" wrapText="1"/>
    </xf>
    <xf numFmtId="0" fontId="17" fillId="0" borderId="1" xfId="0" applyFont="1" applyFill="1" applyBorder="1" applyAlignment="1">
      <alignment horizontal="center" vertical="center" wrapText="1"/>
    </xf>
    <xf numFmtId="166" fontId="24" fillId="0" borderId="1" xfId="0" applyNumberFormat="1" applyFont="1" applyBorder="1" applyAlignment="1">
      <alignment horizontal="center" vertical="center" wrapText="1"/>
    </xf>
    <xf numFmtId="0" fontId="17" fillId="0" borderId="0" xfId="0" applyFont="1" applyAlignment="1">
      <alignment wrapText="1"/>
    </xf>
    <xf numFmtId="0" fontId="17" fillId="0" borderId="1" xfId="0" applyFont="1" applyBorder="1" applyAlignment="1">
      <alignment vertical="center"/>
    </xf>
    <xf numFmtId="0" fontId="25" fillId="0" borderId="1" xfId="0" applyFont="1" applyFill="1" applyBorder="1" applyAlignment="1">
      <alignment horizontal="center" vertical="center" wrapText="1"/>
    </xf>
    <xf numFmtId="166" fontId="25" fillId="0" borderId="1" xfId="0" applyNumberFormat="1" applyFont="1" applyBorder="1" applyAlignment="1">
      <alignment horizontal="center" vertical="center" wrapText="1"/>
    </xf>
    <xf numFmtId="167" fontId="25" fillId="0" borderId="1" xfId="0" applyNumberFormat="1" applyFont="1" applyBorder="1" applyAlignment="1">
      <alignment horizontal="center" vertical="center" wrapText="1"/>
    </xf>
    <xf numFmtId="168" fontId="25" fillId="0" borderId="1" xfId="0" applyNumberFormat="1" applyFont="1" applyBorder="1" applyAlignment="1">
      <alignment horizontal="center" vertical="center" wrapText="1"/>
    </xf>
    <xf numFmtId="168" fontId="25" fillId="0" borderId="1" xfId="0" applyNumberFormat="1" applyFont="1" applyBorder="1" applyAlignment="1">
      <alignment horizontal="center" vertical="center"/>
    </xf>
    <xf numFmtId="0" fontId="25" fillId="0" borderId="1" xfId="0" applyFont="1" applyBorder="1" applyAlignment="1">
      <alignment horizontal="center" vertical="center"/>
    </xf>
    <xf numFmtId="0" fontId="26" fillId="0" borderId="0" xfId="0" applyFont="1"/>
    <xf numFmtId="0" fontId="21" fillId="0" borderId="0" xfId="0" applyFont="1" applyAlignment="1">
      <alignment horizontal="center" vertical="center"/>
    </xf>
    <xf numFmtId="0" fontId="21" fillId="0" borderId="0" xfId="0" applyFont="1" applyAlignment="1">
      <alignment vertical="center"/>
    </xf>
    <xf numFmtId="0" fontId="21" fillId="0" borderId="0" xfId="0" applyFont="1" applyAlignment="1">
      <alignment vertical="center" wrapText="1"/>
    </xf>
    <xf numFmtId="0" fontId="18" fillId="3" borderId="1" xfId="0" applyFont="1" applyFill="1" applyBorder="1" applyAlignment="1">
      <alignment horizontal="center" vertical="center"/>
    </xf>
    <xf numFmtId="166" fontId="25" fillId="0" borderId="1" xfId="0" applyNumberFormat="1" applyFont="1" applyFill="1" applyBorder="1" applyAlignment="1">
      <alignment horizontal="center" vertical="center" wrapText="1"/>
    </xf>
    <xf numFmtId="167" fontId="25" fillId="0" borderId="1" xfId="0" applyNumberFormat="1" applyFont="1" applyFill="1" applyBorder="1" applyAlignment="1">
      <alignment horizontal="center" vertical="center" wrapText="1"/>
    </xf>
    <xf numFmtId="168" fontId="25" fillId="0" borderId="1" xfId="0" applyNumberFormat="1" applyFont="1" applyFill="1" applyBorder="1" applyAlignment="1">
      <alignment horizontal="center" vertical="center"/>
    </xf>
    <xf numFmtId="0" fontId="25" fillId="0" borderId="1" xfId="0" applyNumberFormat="1" applyFont="1" applyBorder="1" applyAlignment="1">
      <alignment horizontal="center" vertical="center" wrapText="1"/>
    </xf>
    <xf numFmtId="0" fontId="18" fillId="0" borderId="1" xfId="0" applyFont="1" applyBorder="1" applyAlignment="1">
      <alignment horizontal="center" vertical="center"/>
    </xf>
    <xf numFmtId="0" fontId="27" fillId="0" borderId="1" xfId="0" applyFont="1" applyFill="1" applyBorder="1" applyAlignment="1">
      <alignment wrapText="1"/>
    </xf>
    <xf numFmtId="0" fontId="28" fillId="0" borderId="1" xfId="0" applyFont="1" applyBorder="1" applyAlignment="1">
      <alignment wrapText="1"/>
    </xf>
    <xf numFmtId="0" fontId="11" fillId="4" borderId="17" xfId="1" applyFont="1" applyFill="1" applyBorder="1" applyAlignment="1">
      <alignment horizontal="left" vertical="top" wrapText="1"/>
    </xf>
    <xf numFmtId="0" fontId="11" fillId="4" borderId="0" xfId="1" applyFont="1" applyFill="1" applyBorder="1" applyAlignment="1">
      <alignment horizontal="left" vertical="top" wrapText="1"/>
    </xf>
    <xf numFmtId="0" fontId="1" fillId="0" borderId="0" xfId="0" applyFont="1" applyAlignment="1">
      <alignment horizontal="right"/>
    </xf>
    <xf numFmtId="0" fontId="1" fillId="0" borderId="0" xfId="0" applyFont="1" applyAlignment="1">
      <alignment horizontal="left" vertical="center"/>
    </xf>
    <xf numFmtId="0" fontId="3" fillId="0" borderId="0" xfId="1" applyFont="1" applyFill="1" applyAlignment="1">
      <alignment horizontal="left"/>
    </xf>
    <xf numFmtId="0" fontId="18" fillId="0" borderId="14" xfId="0" applyFont="1" applyFill="1" applyBorder="1" applyAlignment="1">
      <alignment horizontal="left" vertical="center" wrapText="1"/>
    </xf>
    <xf numFmtId="0" fontId="18" fillId="0" borderId="18" xfId="0" applyFont="1" applyFill="1" applyBorder="1" applyAlignment="1">
      <alignment horizontal="left" vertical="center" wrapText="1"/>
    </xf>
    <xf numFmtId="0" fontId="18" fillId="0" borderId="19" xfId="0" applyFont="1" applyFill="1" applyBorder="1" applyAlignment="1">
      <alignment horizontal="left" vertical="center" wrapText="1"/>
    </xf>
    <xf numFmtId="0" fontId="23" fillId="0" borderId="0" xfId="0" applyFont="1" applyAlignment="1">
      <alignment horizontal="left" vertical="center"/>
    </xf>
    <xf numFmtId="0" fontId="19" fillId="0" borderId="0" xfId="0" applyFont="1" applyAlignment="1">
      <alignment horizontal="center" vertical="center"/>
    </xf>
    <xf numFmtId="0" fontId="19" fillId="0" borderId="0" xfId="0" applyFont="1" applyAlignment="1" applyProtection="1">
      <alignment horizontal="center" vertical="center" wrapText="1"/>
      <protection locked="0"/>
    </xf>
    <xf numFmtId="0" fontId="18" fillId="3" borderId="4" xfId="0" applyFont="1" applyFill="1" applyBorder="1" applyAlignment="1">
      <alignment horizontal="center" vertical="center" wrapText="1"/>
    </xf>
    <xf numFmtId="0" fontId="18" fillId="3" borderId="10" xfId="0" applyFont="1" applyFill="1" applyBorder="1" applyAlignment="1">
      <alignment horizontal="center" vertical="center" wrapText="1"/>
    </xf>
    <xf numFmtId="0" fontId="18" fillId="3" borderId="7" xfId="0" applyFont="1" applyFill="1" applyBorder="1" applyAlignment="1">
      <alignment horizontal="center" vertical="center" wrapText="1"/>
    </xf>
    <xf numFmtId="0" fontId="18" fillId="3" borderId="12" xfId="0" applyFont="1" applyFill="1" applyBorder="1" applyAlignment="1">
      <alignment horizontal="center" vertical="center" wrapText="1"/>
    </xf>
    <xf numFmtId="0" fontId="18" fillId="3" borderId="8" xfId="0" applyFont="1" applyFill="1" applyBorder="1" applyAlignment="1">
      <alignment horizontal="center" vertical="center" wrapText="1"/>
    </xf>
    <xf numFmtId="0" fontId="18" fillId="3" borderId="13" xfId="0" applyFont="1" applyFill="1" applyBorder="1" applyAlignment="1">
      <alignment horizontal="center" vertical="center" wrapText="1"/>
    </xf>
    <xf numFmtId="0" fontId="16" fillId="2" borderId="2" xfId="0" applyFont="1" applyFill="1" applyBorder="1" applyAlignment="1">
      <alignment horizontal="center" vertical="center"/>
    </xf>
    <xf numFmtId="0" fontId="18" fillId="3" borderId="3" xfId="0" applyFont="1" applyFill="1" applyBorder="1" applyAlignment="1">
      <alignment horizontal="center" vertical="center" wrapText="1"/>
    </xf>
    <xf numFmtId="0" fontId="18" fillId="3" borderId="9"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11"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1" xfId="0" applyFont="1" applyFill="1" applyBorder="1" applyAlignment="1">
      <alignment horizontal="center" vertical="center" wrapText="1"/>
    </xf>
    <xf numFmtId="0" fontId="18" fillId="3" borderId="4" xfId="0" applyFont="1" applyFill="1" applyBorder="1" applyAlignment="1">
      <alignment horizontal="center" vertical="center"/>
    </xf>
    <xf numFmtId="0" fontId="18" fillId="3" borderId="10" xfId="0" applyFont="1" applyFill="1" applyBorder="1" applyAlignment="1">
      <alignment horizontal="center" vertical="center"/>
    </xf>
    <xf numFmtId="0" fontId="16" fillId="0" borderId="1" xfId="0" applyFont="1" applyBorder="1" applyAlignment="1">
      <alignment horizontal="left" vertical="center"/>
    </xf>
    <xf numFmtId="0" fontId="16" fillId="0" borderId="1" xfId="0" applyFont="1" applyBorder="1" applyAlignment="1">
      <alignment horizontal="center"/>
    </xf>
    <xf numFmtId="0" fontId="18" fillId="0" borderId="2" xfId="0" applyFont="1" applyBorder="1" applyAlignment="1">
      <alignment horizontal="center" vertical="center"/>
    </xf>
    <xf numFmtId="0" fontId="10" fillId="0" borderId="0" xfId="0" applyFont="1" applyAlignment="1">
      <alignment horizontal="center" wrapText="1"/>
    </xf>
  </cellXfs>
  <cellStyles count="4">
    <cellStyle name="Hyperlink" xfId="2" builtinId="8"/>
    <cellStyle name="Normal" xfId="0" builtinId="0"/>
    <cellStyle name="Normal 3" xfId="1"/>
    <cellStyle name="Normal_Sheet1"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view="pageBreakPreview" topLeftCell="A7" zoomScaleNormal="100" zoomScaleSheetLayoutView="100" workbookViewId="0">
      <selection activeCell="B21" sqref="B21"/>
    </sheetView>
  </sheetViews>
  <sheetFormatPr defaultColWidth="8.85546875" defaultRowHeight="15" x14ac:dyDescent="0.25"/>
  <cols>
    <col min="1" max="1" width="14.5703125" style="1" customWidth="1"/>
    <col min="2" max="2" width="11.5703125" style="1" customWidth="1"/>
    <col min="3" max="3" width="15.42578125" style="1" customWidth="1"/>
    <col min="4" max="4" width="30.85546875" style="1" customWidth="1"/>
    <col min="5" max="5" width="20.85546875" style="1" customWidth="1"/>
    <col min="6" max="6" width="14.5703125" style="1" customWidth="1"/>
    <col min="7" max="8" width="12.42578125" style="1" customWidth="1"/>
    <col min="9" max="9" width="7.7109375" style="1" customWidth="1"/>
    <col min="10" max="10" width="11.5703125" style="1" customWidth="1"/>
    <col min="11" max="16384" width="8.85546875" style="1"/>
  </cols>
  <sheetData>
    <row r="1" spans="1:11" x14ac:dyDescent="0.25">
      <c r="A1" s="102"/>
      <c r="B1" s="102"/>
      <c r="C1" s="102"/>
      <c r="D1" s="102"/>
      <c r="E1" s="102"/>
      <c r="F1" s="102"/>
      <c r="G1" s="102"/>
      <c r="H1" s="102"/>
      <c r="I1" s="102"/>
    </row>
    <row r="2" spans="1:11" x14ac:dyDescent="0.25">
      <c r="A2" s="103" t="s">
        <v>56</v>
      </c>
      <c r="B2" s="103"/>
      <c r="C2" s="103"/>
      <c r="D2" s="103"/>
      <c r="E2" s="103"/>
    </row>
    <row r="3" spans="1:11" x14ac:dyDescent="0.25">
      <c r="A3" s="104" t="s">
        <v>14</v>
      </c>
      <c r="B3" s="104"/>
      <c r="C3" s="104"/>
    </row>
    <row r="4" spans="1:11" x14ac:dyDescent="0.25">
      <c r="A4" s="2" t="s">
        <v>0</v>
      </c>
      <c r="B4" s="2">
        <v>2019</v>
      </c>
    </row>
    <row r="5" spans="1:11" ht="49.15" customHeight="1" x14ac:dyDescent="0.25">
      <c r="A5" s="100" t="s">
        <v>37</v>
      </c>
      <c r="B5" s="101"/>
      <c r="C5" s="101"/>
      <c r="D5" s="101"/>
      <c r="E5" s="101"/>
      <c r="F5" s="101"/>
      <c r="G5" s="101"/>
      <c r="H5" s="101"/>
      <c r="I5" s="16"/>
    </row>
    <row r="6" spans="1:11" ht="32.25" customHeight="1" x14ac:dyDescent="0.25">
      <c r="A6" s="100" t="s">
        <v>38</v>
      </c>
      <c r="B6" s="101"/>
      <c r="C6" s="101"/>
      <c r="D6" s="101"/>
      <c r="E6" s="101"/>
      <c r="F6" s="101"/>
      <c r="G6" s="101"/>
      <c r="H6" s="101"/>
      <c r="I6" s="16"/>
      <c r="K6" s="4"/>
    </row>
    <row r="7" spans="1:11" ht="48" customHeight="1" x14ac:dyDescent="0.25">
      <c r="A7" s="100" t="s">
        <v>36</v>
      </c>
      <c r="B7" s="101"/>
      <c r="C7" s="101"/>
      <c r="D7" s="101"/>
      <c r="E7" s="101"/>
      <c r="F7" s="101"/>
      <c r="G7" s="101"/>
      <c r="H7" s="101"/>
      <c r="I7" s="16"/>
      <c r="K7" s="4"/>
    </row>
    <row r="8" spans="1:11" ht="19.149999999999999" customHeight="1" x14ac:dyDescent="0.25"/>
    <row r="9" spans="1:11" x14ac:dyDescent="0.25">
      <c r="B9" s="21" t="s">
        <v>57</v>
      </c>
      <c r="C9" s="5"/>
    </row>
    <row r="10" spans="1:11" x14ac:dyDescent="0.25">
      <c r="A10" s="6"/>
      <c r="B10" s="21" t="s">
        <v>58</v>
      </c>
    </row>
    <row r="11" spans="1:11" x14ac:dyDescent="0.25">
      <c r="A11" s="6"/>
      <c r="B11" s="7"/>
    </row>
    <row r="12" spans="1:11" x14ac:dyDescent="0.25">
      <c r="A12" s="21" t="s">
        <v>55</v>
      </c>
      <c r="B12"/>
    </row>
    <row r="13" spans="1:11" ht="15.75" x14ac:dyDescent="0.25">
      <c r="A13" s="22"/>
      <c r="B13"/>
    </row>
    <row r="14" spans="1:11" x14ac:dyDescent="0.25">
      <c r="A14" s="23" t="s">
        <v>41</v>
      </c>
      <c r="B14" s="23" t="s">
        <v>59</v>
      </c>
    </row>
    <row r="15" spans="1:11" x14ac:dyDescent="0.25">
      <c r="A15" s="23" t="s">
        <v>42</v>
      </c>
      <c r="B15" s="23"/>
    </row>
    <row r="16" spans="1:11" ht="30" x14ac:dyDescent="0.25">
      <c r="A16" s="23" t="s">
        <v>43</v>
      </c>
      <c r="B16" s="23"/>
    </row>
    <row r="17" spans="1:9" x14ac:dyDescent="0.25">
      <c r="A17" s="6"/>
      <c r="B17" s="3"/>
    </row>
    <row r="18" spans="1:9" ht="48" x14ac:dyDescent="0.25">
      <c r="A18" s="8" t="s">
        <v>48</v>
      </c>
      <c r="B18" s="8" t="s">
        <v>49</v>
      </c>
      <c r="C18" s="8" t="s">
        <v>44</v>
      </c>
      <c r="D18" s="8" t="s">
        <v>51</v>
      </c>
      <c r="E18" s="8" t="s">
        <v>45</v>
      </c>
      <c r="F18" s="25" t="s">
        <v>15</v>
      </c>
      <c r="G18" s="27" t="s">
        <v>52</v>
      </c>
      <c r="H18" s="27" t="s">
        <v>53</v>
      </c>
      <c r="I18" s="27" t="s">
        <v>54</v>
      </c>
    </row>
    <row r="19" spans="1:9" ht="78.75" x14ac:dyDescent="0.25">
      <c r="A19" s="20" t="s">
        <v>39</v>
      </c>
      <c r="B19" s="24" t="s">
        <v>46</v>
      </c>
      <c r="C19" s="20" t="s">
        <v>50</v>
      </c>
      <c r="D19" s="20" t="s">
        <v>47</v>
      </c>
      <c r="E19" s="20" t="s">
        <v>47</v>
      </c>
      <c r="F19" s="26" t="s">
        <v>40</v>
      </c>
      <c r="G19" s="26" t="s">
        <v>40</v>
      </c>
      <c r="H19" s="29"/>
      <c r="I19" s="20" t="s">
        <v>50</v>
      </c>
    </row>
    <row r="20" spans="1:9" x14ac:dyDescent="0.25">
      <c r="A20" s="10">
        <v>0</v>
      </c>
      <c r="B20" s="11" t="s">
        <v>449</v>
      </c>
      <c r="C20" s="10"/>
      <c r="D20" s="12"/>
      <c r="E20" s="13"/>
      <c r="F20" s="13"/>
      <c r="G20" s="28"/>
      <c r="H20" s="29"/>
      <c r="I20" s="28"/>
    </row>
    <row r="21" spans="1:9" x14ac:dyDescent="0.25">
      <c r="A21" s="10"/>
      <c r="B21" s="11"/>
      <c r="C21" s="10"/>
      <c r="D21" s="12"/>
      <c r="E21" s="13"/>
      <c r="F21" s="13"/>
      <c r="G21" s="28"/>
      <c r="H21" s="29"/>
      <c r="I21" s="28"/>
    </row>
    <row r="22" spans="1:9" x14ac:dyDescent="0.25">
      <c r="A22" s="10"/>
      <c r="B22" s="11"/>
      <c r="C22" s="10"/>
      <c r="D22" s="12"/>
      <c r="E22" s="13"/>
      <c r="F22" s="13"/>
      <c r="G22" s="28"/>
      <c r="H22" s="29"/>
      <c r="I22" s="28"/>
    </row>
    <row r="23" spans="1:9" x14ac:dyDescent="0.25">
      <c r="A23" s="8"/>
      <c r="B23" s="14"/>
      <c r="C23" s="8"/>
      <c r="D23" s="15"/>
      <c r="E23" s="13"/>
      <c r="F23" s="13"/>
      <c r="G23" s="28"/>
      <c r="H23" s="29"/>
      <c r="I23" s="28"/>
    </row>
    <row r="24" spans="1:9" x14ac:dyDescent="0.25">
      <c r="E24" s="9"/>
      <c r="F24" s="9"/>
      <c r="H24" s="4"/>
    </row>
  </sheetData>
  <mergeCells count="6">
    <mergeCell ref="A5:H5"/>
    <mergeCell ref="A6:H6"/>
    <mergeCell ref="A7:H7"/>
    <mergeCell ref="A1:I1"/>
    <mergeCell ref="A2:E2"/>
    <mergeCell ref="A3:C3"/>
  </mergeCells>
  <hyperlinks>
    <hyperlink ref="B10" location="'Achizitii directe .... (anul)'!A1" display="Achizitii directe .... (introduceti anul)"/>
    <hyperlink ref="B9" location="'PAAP .... (introduceti anul)'!A1" display="PAAP .... (introduceți anul)"/>
  </hyperlinks>
  <pageMargins left="0.7" right="0.7" top="0.75" bottom="0.75" header="0.3" footer="0.3"/>
  <pageSetup paperSize="9" scale="7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4"/>
  <sheetViews>
    <sheetView view="pageBreakPreview" zoomScaleNormal="85" zoomScaleSheetLayoutView="100" workbookViewId="0">
      <selection activeCell="H61" sqref="H61"/>
    </sheetView>
  </sheetViews>
  <sheetFormatPr defaultColWidth="8.85546875" defaultRowHeight="15" x14ac:dyDescent="0.25"/>
  <cols>
    <col min="1" max="1" width="7.5703125" style="18" customWidth="1"/>
    <col min="2" max="2" width="35.7109375" style="1" customWidth="1"/>
    <col min="3" max="3" width="22.85546875" style="1" customWidth="1"/>
    <col min="4" max="4" width="19.42578125" style="1" customWidth="1"/>
    <col min="5" max="5" width="19.140625" style="1" customWidth="1"/>
    <col min="6" max="6" width="19.28515625" style="1" customWidth="1"/>
    <col min="7" max="7" width="19.85546875" style="1" customWidth="1"/>
    <col min="8" max="9" width="17.42578125" style="1" customWidth="1"/>
    <col min="10" max="10" width="23.7109375" style="1" customWidth="1"/>
    <col min="11" max="11" width="15.28515625" style="1" customWidth="1"/>
    <col min="12" max="13" width="18.140625" style="1" customWidth="1"/>
    <col min="14" max="14" width="8.85546875" style="1"/>
    <col min="15" max="15" width="36.7109375" style="1" customWidth="1"/>
    <col min="16" max="16" width="15.7109375" style="1" customWidth="1"/>
    <col min="17" max="17" width="18.28515625" style="1" bestFit="1" customWidth="1"/>
    <col min="18" max="16384" width="8.85546875" style="1"/>
  </cols>
  <sheetData>
    <row r="1" spans="1:17" s="70" customFormat="1" x14ac:dyDescent="0.25">
      <c r="A1" s="67" t="s">
        <v>456</v>
      </c>
      <c r="B1" s="68"/>
      <c r="C1" s="68"/>
      <c r="D1" s="69"/>
      <c r="H1" s="71"/>
    </row>
    <row r="2" spans="1:17" s="70" customFormat="1" x14ac:dyDescent="0.25">
      <c r="A2" s="67" t="s">
        <v>457</v>
      </c>
      <c r="B2" s="68"/>
      <c r="C2" s="68"/>
      <c r="D2" s="69"/>
      <c r="H2" s="71"/>
    </row>
    <row r="3" spans="1:17" s="70" customFormat="1" x14ac:dyDescent="0.25">
      <c r="A3" s="67"/>
      <c r="B3" s="68"/>
      <c r="C3" s="68"/>
      <c r="D3" s="69"/>
      <c r="H3" s="71"/>
    </row>
    <row r="4" spans="1:17" s="70" customFormat="1" x14ac:dyDescent="0.25">
      <c r="A4" s="67"/>
      <c r="B4" s="68"/>
      <c r="C4" s="68"/>
      <c r="D4" s="69"/>
      <c r="H4" s="71"/>
    </row>
    <row r="5" spans="1:17" s="70" customFormat="1" x14ac:dyDescent="0.25">
      <c r="A5" s="89"/>
      <c r="B5" s="74"/>
      <c r="C5" s="74"/>
      <c r="D5" s="75"/>
      <c r="E5" s="76"/>
      <c r="F5" s="76"/>
      <c r="G5" s="76"/>
      <c r="H5" s="77"/>
      <c r="I5" s="76"/>
      <c r="J5" s="76"/>
      <c r="K5" s="76"/>
      <c r="L5" s="90" t="s">
        <v>458</v>
      </c>
      <c r="M5" s="76"/>
    </row>
    <row r="6" spans="1:17" s="70" customFormat="1" x14ac:dyDescent="0.25">
      <c r="A6" s="89"/>
      <c r="B6" s="74"/>
      <c r="C6" s="74"/>
      <c r="D6" s="75"/>
      <c r="E6" s="76"/>
      <c r="F6" s="76"/>
      <c r="G6" s="76"/>
      <c r="H6" s="77"/>
      <c r="I6" s="76"/>
      <c r="J6" s="76"/>
      <c r="K6" s="76"/>
      <c r="L6" s="91" t="s">
        <v>459</v>
      </c>
      <c r="M6" s="76"/>
    </row>
    <row r="7" spans="1:17" s="70" customFormat="1" x14ac:dyDescent="0.25">
      <c r="A7" s="89"/>
      <c r="B7" s="74"/>
      <c r="C7" s="74"/>
      <c r="D7" s="75"/>
      <c r="E7" s="76"/>
      <c r="F7" s="76"/>
      <c r="G7" s="76"/>
      <c r="H7" s="77"/>
      <c r="I7" s="76"/>
      <c r="J7" s="76"/>
      <c r="K7" s="76"/>
      <c r="L7" s="90" t="s">
        <v>460</v>
      </c>
      <c r="M7" s="76"/>
    </row>
    <row r="8" spans="1:17" ht="15.75" thickBot="1" x14ac:dyDescent="0.3">
      <c r="A8" s="117" t="s">
        <v>461</v>
      </c>
      <c r="B8" s="117"/>
      <c r="C8" s="117"/>
      <c r="D8" s="117"/>
      <c r="E8" s="117"/>
      <c r="F8" s="117"/>
      <c r="G8" s="117"/>
      <c r="H8" s="117"/>
      <c r="I8" s="117"/>
      <c r="J8" s="117"/>
      <c r="K8" s="117"/>
      <c r="L8" s="117"/>
      <c r="M8" s="117"/>
    </row>
    <row r="9" spans="1:17" ht="31.9" customHeight="1" thickTop="1" x14ac:dyDescent="0.25">
      <c r="A9" s="118" t="s">
        <v>1</v>
      </c>
      <c r="B9" s="111" t="s">
        <v>16</v>
      </c>
      <c r="C9" s="120" t="s">
        <v>17</v>
      </c>
      <c r="D9" s="122" t="s">
        <v>18</v>
      </c>
      <c r="E9" s="122" t="s">
        <v>3</v>
      </c>
      <c r="F9" s="122" t="s">
        <v>19</v>
      </c>
      <c r="G9" s="122"/>
      <c r="H9" s="124" t="s">
        <v>20</v>
      </c>
      <c r="I9" s="122" t="s">
        <v>21</v>
      </c>
      <c r="J9" s="122" t="s">
        <v>22</v>
      </c>
      <c r="K9" s="111" t="s">
        <v>4</v>
      </c>
      <c r="L9" s="113" t="s">
        <v>23</v>
      </c>
      <c r="M9" s="115" t="s">
        <v>24</v>
      </c>
    </row>
    <row r="10" spans="1:17" ht="55.9" customHeight="1" x14ac:dyDescent="0.25">
      <c r="A10" s="119"/>
      <c r="B10" s="112"/>
      <c r="C10" s="121"/>
      <c r="D10" s="123"/>
      <c r="E10" s="123"/>
      <c r="F10" s="92" t="s">
        <v>5</v>
      </c>
      <c r="G10" s="92" t="s">
        <v>6</v>
      </c>
      <c r="H10" s="125"/>
      <c r="I10" s="123"/>
      <c r="J10" s="123"/>
      <c r="K10" s="112"/>
      <c r="L10" s="114"/>
      <c r="M10" s="116"/>
      <c r="O10" s="17" t="s">
        <v>2</v>
      </c>
      <c r="P10" s="17" t="s">
        <v>3</v>
      </c>
      <c r="Q10" s="17" t="s">
        <v>4</v>
      </c>
    </row>
    <row r="11" spans="1:17" ht="38.25" x14ac:dyDescent="0.25">
      <c r="A11" s="38">
        <v>1</v>
      </c>
      <c r="B11" s="55" t="s">
        <v>60</v>
      </c>
      <c r="C11" s="41" t="s">
        <v>134</v>
      </c>
      <c r="D11" s="82" t="s">
        <v>25</v>
      </c>
      <c r="E11" s="82" t="s">
        <v>9</v>
      </c>
      <c r="F11" s="83">
        <f>250000</f>
        <v>250000</v>
      </c>
      <c r="G11" s="83">
        <f>F11*10</f>
        <v>2500000</v>
      </c>
      <c r="H11" s="84" t="s">
        <v>61</v>
      </c>
      <c r="I11" s="85" t="s">
        <v>64</v>
      </c>
      <c r="J11" s="86" t="s">
        <v>63</v>
      </c>
      <c r="K11" s="86" t="s">
        <v>10</v>
      </c>
      <c r="L11" s="86" t="s">
        <v>65</v>
      </c>
      <c r="M11" s="87" t="s">
        <v>476</v>
      </c>
      <c r="O11" s="17"/>
      <c r="P11" s="17"/>
      <c r="Q11" s="17"/>
    </row>
    <row r="12" spans="1:17" ht="25.5" x14ac:dyDescent="0.25">
      <c r="A12" s="38">
        <v>2</v>
      </c>
      <c r="B12" s="31" t="s">
        <v>67</v>
      </c>
      <c r="C12" s="41" t="s">
        <v>383</v>
      </c>
      <c r="D12" s="78"/>
      <c r="E12" s="82" t="s">
        <v>9</v>
      </c>
      <c r="F12" s="83">
        <f>250000</f>
        <v>250000</v>
      </c>
      <c r="G12" s="83">
        <f>F12*10-180000</f>
        <v>2320000</v>
      </c>
      <c r="H12" s="84" t="s">
        <v>61</v>
      </c>
      <c r="I12" s="85" t="s">
        <v>64</v>
      </c>
      <c r="J12" s="86" t="s">
        <v>63</v>
      </c>
      <c r="K12" s="86" t="s">
        <v>10</v>
      </c>
      <c r="L12" s="86" t="s">
        <v>65</v>
      </c>
      <c r="M12" s="87" t="s">
        <v>476</v>
      </c>
      <c r="O12" s="17"/>
      <c r="P12" s="17"/>
      <c r="Q12" s="17"/>
    </row>
    <row r="13" spans="1:17" x14ac:dyDescent="0.25">
      <c r="A13" s="105" t="s">
        <v>396</v>
      </c>
      <c r="B13" s="106"/>
      <c r="C13" s="106"/>
      <c r="D13" s="106"/>
      <c r="E13" s="107"/>
      <c r="F13" s="83"/>
      <c r="G13" s="79">
        <f>SUM(G11:G12)*1.19</f>
        <v>5735800</v>
      </c>
      <c r="H13" s="84"/>
      <c r="I13" s="85"/>
      <c r="J13" s="86"/>
      <c r="K13" s="86"/>
      <c r="L13" s="86"/>
      <c r="M13" s="87"/>
      <c r="O13" s="17"/>
      <c r="P13" s="17" t="s">
        <v>7</v>
      </c>
      <c r="Q13" s="17" t="s">
        <v>8</v>
      </c>
    </row>
    <row r="14" spans="1:17" x14ac:dyDescent="0.25">
      <c r="A14" s="105" t="s">
        <v>409</v>
      </c>
      <c r="B14" s="106"/>
      <c r="C14" s="106"/>
      <c r="D14" s="106"/>
      <c r="E14" s="107"/>
      <c r="F14" s="83"/>
      <c r="G14" s="79">
        <f>0+'Achizitii directe 2020'!D52</f>
        <v>639200.00339999993</v>
      </c>
      <c r="H14" s="84"/>
      <c r="I14" s="85"/>
      <c r="J14" s="86"/>
      <c r="K14" s="86"/>
      <c r="L14" s="86"/>
      <c r="M14" s="87"/>
      <c r="O14" s="17" t="s">
        <v>25</v>
      </c>
      <c r="P14" s="17" t="s">
        <v>9</v>
      </c>
      <c r="Q14" s="17" t="s">
        <v>10</v>
      </c>
    </row>
    <row r="15" spans="1:17" x14ac:dyDescent="0.25">
      <c r="A15" s="105" t="s">
        <v>397</v>
      </c>
      <c r="B15" s="106"/>
      <c r="C15" s="106"/>
      <c r="D15" s="106"/>
      <c r="E15" s="107"/>
      <c r="F15" s="83"/>
      <c r="G15" s="79">
        <f>SUM(G13:G14)</f>
        <v>6375000.0033999998</v>
      </c>
      <c r="H15" s="84"/>
      <c r="I15" s="85"/>
      <c r="J15" s="86"/>
      <c r="K15" s="86"/>
      <c r="L15" s="86"/>
      <c r="M15" s="87"/>
      <c r="O15" s="17" t="s">
        <v>26</v>
      </c>
      <c r="P15" s="17"/>
      <c r="Q15" s="17"/>
    </row>
    <row r="16" spans="1:17" ht="25.5" x14ac:dyDescent="0.25">
      <c r="A16" s="38">
        <v>3</v>
      </c>
      <c r="B16" s="31" t="s">
        <v>384</v>
      </c>
      <c r="C16" s="41" t="s">
        <v>385</v>
      </c>
      <c r="D16" s="82" t="s">
        <v>25</v>
      </c>
      <c r="E16" s="82" t="s">
        <v>9</v>
      </c>
      <c r="F16" s="83">
        <f>427812</f>
        <v>427812</v>
      </c>
      <c r="G16" s="83">
        <f>713511</f>
        <v>713511</v>
      </c>
      <c r="H16" s="84" t="s">
        <v>61</v>
      </c>
      <c r="I16" s="85" t="s">
        <v>64</v>
      </c>
      <c r="J16" s="86" t="s">
        <v>63</v>
      </c>
      <c r="K16" s="80"/>
      <c r="L16" s="86" t="s">
        <v>65</v>
      </c>
      <c r="M16" s="87" t="s">
        <v>476</v>
      </c>
      <c r="O16" s="17" t="s">
        <v>27</v>
      </c>
      <c r="P16" s="17"/>
      <c r="Q16" s="17"/>
    </row>
    <row r="17" spans="1:17" ht="51" x14ac:dyDescent="0.25">
      <c r="A17" s="97">
        <v>4</v>
      </c>
      <c r="B17" s="55" t="s">
        <v>463</v>
      </c>
      <c r="C17" s="40" t="s">
        <v>391</v>
      </c>
      <c r="D17" s="82" t="s">
        <v>29</v>
      </c>
      <c r="E17" s="82" t="s">
        <v>9</v>
      </c>
      <c r="F17" s="93">
        <v>188387.09</v>
      </c>
      <c r="G17" s="93">
        <v>221354.83</v>
      </c>
      <c r="H17" s="94" t="s">
        <v>61</v>
      </c>
      <c r="I17" s="81">
        <v>2017</v>
      </c>
      <c r="J17" s="95" t="s">
        <v>63</v>
      </c>
      <c r="K17" s="86" t="s">
        <v>10</v>
      </c>
      <c r="L17" s="86" t="s">
        <v>65</v>
      </c>
      <c r="M17" s="87" t="s">
        <v>476</v>
      </c>
      <c r="O17" s="17" t="s">
        <v>11</v>
      </c>
      <c r="P17" s="17"/>
      <c r="Q17" s="17"/>
    </row>
    <row r="18" spans="1:17" ht="25.5" x14ac:dyDescent="0.25">
      <c r="A18" s="97">
        <v>5</v>
      </c>
      <c r="B18" s="55" t="s">
        <v>392</v>
      </c>
      <c r="C18" s="40" t="s">
        <v>393</v>
      </c>
      <c r="D18" s="82" t="s">
        <v>29</v>
      </c>
      <c r="E18" s="82" t="s">
        <v>7</v>
      </c>
      <c r="F18" s="93">
        <v>188387.09</v>
      </c>
      <c r="G18" s="93">
        <v>188387.09</v>
      </c>
      <c r="H18" s="94" t="s">
        <v>61</v>
      </c>
      <c r="I18" s="85" t="s">
        <v>64</v>
      </c>
      <c r="J18" s="95" t="s">
        <v>63</v>
      </c>
      <c r="K18" s="86" t="s">
        <v>10</v>
      </c>
      <c r="L18" s="86" t="s">
        <v>65</v>
      </c>
      <c r="M18" s="87" t="s">
        <v>476</v>
      </c>
      <c r="O18" s="17" t="s">
        <v>12</v>
      </c>
      <c r="P18" s="17"/>
      <c r="Q18" s="17"/>
    </row>
    <row r="19" spans="1:17" ht="38.25" x14ac:dyDescent="0.25">
      <c r="A19" s="97">
        <v>6</v>
      </c>
      <c r="B19" s="55" t="s">
        <v>394</v>
      </c>
      <c r="C19" s="40" t="s">
        <v>395</v>
      </c>
      <c r="D19" s="82" t="s">
        <v>29</v>
      </c>
      <c r="E19" s="82" t="s">
        <v>7</v>
      </c>
      <c r="F19" s="93">
        <v>734549.16</v>
      </c>
      <c r="G19" s="93">
        <v>734549.16</v>
      </c>
      <c r="H19" s="94" t="s">
        <v>61</v>
      </c>
      <c r="I19" s="96">
        <v>2016</v>
      </c>
      <c r="J19" s="95" t="s">
        <v>63</v>
      </c>
      <c r="K19" s="86" t="s">
        <v>10</v>
      </c>
      <c r="L19" s="86" t="s">
        <v>65</v>
      </c>
      <c r="M19" s="87" t="s">
        <v>476</v>
      </c>
      <c r="O19" s="17" t="s">
        <v>28</v>
      </c>
      <c r="P19" s="17"/>
      <c r="Q19" s="17"/>
    </row>
    <row r="20" spans="1:17" ht="51" x14ac:dyDescent="0.25">
      <c r="A20" s="97">
        <v>7</v>
      </c>
      <c r="B20" s="55" t="s">
        <v>400</v>
      </c>
      <c r="C20" s="40" t="s">
        <v>401</v>
      </c>
      <c r="D20" s="82" t="s">
        <v>29</v>
      </c>
      <c r="E20" s="82" t="s">
        <v>7</v>
      </c>
      <c r="F20" s="93">
        <v>84221.73</v>
      </c>
      <c r="G20" s="93">
        <v>153301.20000000001</v>
      </c>
      <c r="H20" s="94" t="s">
        <v>61</v>
      </c>
      <c r="I20" s="96">
        <v>2017</v>
      </c>
      <c r="J20" s="95" t="s">
        <v>402</v>
      </c>
      <c r="K20" s="86" t="s">
        <v>10</v>
      </c>
      <c r="L20" s="86" t="s">
        <v>65</v>
      </c>
      <c r="M20" s="87" t="s">
        <v>476</v>
      </c>
      <c r="O20" s="17" t="s">
        <v>29</v>
      </c>
      <c r="P20" s="17"/>
      <c r="Q20" s="17"/>
    </row>
    <row r="21" spans="1:17" ht="18.75" customHeight="1" x14ac:dyDescent="0.25">
      <c r="A21" s="105" t="s">
        <v>398</v>
      </c>
      <c r="B21" s="106"/>
      <c r="C21" s="106"/>
      <c r="D21" s="106"/>
      <c r="E21" s="107"/>
      <c r="F21" s="83"/>
      <c r="G21" s="79">
        <f>SUM(G16:G19)*1.19+G20</f>
        <v>2364085.6752000004</v>
      </c>
      <c r="H21" s="84"/>
      <c r="I21" s="85"/>
      <c r="J21" s="86"/>
      <c r="K21" s="86"/>
      <c r="L21" s="86"/>
      <c r="M21" s="87"/>
      <c r="O21" s="17" t="s">
        <v>30</v>
      </c>
      <c r="P21" s="17"/>
      <c r="Q21" s="17"/>
    </row>
    <row r="22" spans="1:17" x14ac:dyDescent="0.25">
      <c r="A22" s="105" t="s">
        <v>422</v>
      </c>
      <c r="B22" s="106"/>
      <c r="C22" s="106"/>
      <c r="D22" s="106"/>
      <c r="E22" s="107"/>
      <c r="F22" s="83"/>
      <c r="G22" s="79">
        <f>0+'Achizitii directe 2020'!D74</f>
        <v>1261268.3265</v>
      </c>
      <c r="H22" s="84"/>
      <c r="I22" s="85"/>
      <c r="J22" s="86"/>
      <c r="K22" s="86"/>
      <c r="L22" s="86"/>
      <c r="M22" s="87"/>
    </row>
    <row r="23" spans="1:17" x14ac:dyDescent="0.25">
      <c r="A23" s="105" t="s">
        <v>399</v>
      </c>
      <c r="B23" s="106"/>
      <c r="C23" s="106"/>
      <c r="D23" s="106"/>
      <c r="E23" s="107"/>
      <c r="F23" s="83"/>
      <c r="G23" s="79">
        <f>SUM(G21:G22)</f>
        <v>3625354.0017000004</v>
      </c>
      <c r="H23" s="84"/>
      <c r="I23" s="85"/>
      <c r="J23" s="86"/>
      <c r="K23" s="86"/>
      <c r="L23" s="86"/>
      <c r="M23" s="87"/>
    </row>
    <row r="24" spans="1:17" ht="51" x14ac:dyDescent="0.25">
      <c r="A24" s="97">
        <v>8</v>
      </c>
      <c r="B24" s="55" t="s">
        <v>400</v>
      </c>
      <c r="C24" s="40" t="s">
        <v>401</v>
      </c>
      <c r="D24" s="82" t="s">
        <v>29</v>
      </c>
      <c r="E24" s="82" t="s">
        <v>7</v>
      </c>
      <c r="F24" s="93">
        <v>786501</v>
      </c>
      <c r="G24" s="93">
        <v>1150000</v>
      </c>
      <c r="H24" s="94" t="s">
        <v>61</v>
      </c>
      <c r="I24" s="96">
        <v>2017</v>
      </c>
      <c r="J24" s="95" t="s">
        <v>402</v>
      </c>
      <c r="K24" s="86" t="s">
        <v>10</v>
      </c>
      <c r="L24" s="86" t="s">
        <v>65</v>
      </c>
      <c r="M24" s="87" t="s">
        <v>476</v>
      </c>
    </row>
    <row r="25" spans="1:17" x14ac:dyDescent="0.25">
      <c r="A25" s="105" t="s">
        <v>403</v>
      </c>
      <c r="B25" s="106"/>
      <c r="C25" s="106"/>
      <c r="D25" s="106"/>
      <c r="E25" s="107"/>
      <c r="F25" s="83"/>
      <c r="G25" s="79">
        <f>SUM(G24)</f>
        <v>1150000</v>
      </c>
      <c r="H25" s="84"/>
      <c r="I25" s="85"/>
      <c r="J25" s="86"/>
      <c r="K25" s="86"/>
      <c r="L25" s="86"/>
      <c r="M25" s="87"/>
    </row>
    <row r="26" spans="1:17" x14ac:dyDescent="0.25">
      <c r="A26" s="105" t="s">
        <v>404</v>
      </c>
      <c r="B26" s="106"/>
      <c r="C26" s="106"/>
      <c r="D26" s="106"/>
      <c r="E26" s="107"/>
      <c r="F26" s="83"/>
      <c r="G26" s="79">
        <f>SUM(G25)</f>
        <v>1150000</v>
      </c>
      <c r="H26" s="84"/>
      <c r="I26" s="85"/>
      <c r="J26" s="86"/>
      <c r="K26" s="86"/>
      <c r="L26" s="86"/>
      <c r="M26" s="87"/>
    </row>
    <row r="27" spans="1:17" s="88" customFormat="1" ht="25.5" x14ac:dyDescent="0.2">
      <c r="A27" s="38">
        <v>9</v>
      </c>
      <c r="B27" s="55" t="s">
        <v>389</v>
      </c>
      <c r="C27" s="55" t="s">
        <v>390</v>
      </c>
      <c r="D27" s="82" t="s">
        <v>25</v>
      </c>
      <c r="E27" s="82" t="s">
        <v>9</v>
      </c>
      <c r="F27" s="83">
        <f>3455034/36*3</f>
        <v>287919.5</v>
      </c>
      <c r="G27" s="83">
        <f>6910068/36*11+250114.678+155412.844+377372.477</f>
        <v>2894309.6656666668</v>
      </c>
      <c r="H27" s="84" t="s">
        <v>61</v>
      </c>
      <c r="I27" s="85" t="s">
        <v>64</v>
      </c>
      <c r="J27" s="86" t="s">
        <v>63</v>
      </c>
      <c r="K27" s="86"/>
      <c r="L27" s="85" t="s">
        <v>290</v>
      </c>
      <c r="M27" s="87" t="s">
        <v>66</v>
      </c>
    </row>
    <row r="28" spans="1:17" s="88" customFormat="1" ht="25.5" x14ac:dyDescent="0.2">
      <c r="A28" s="38">
        <v>10</v>
      </c>
      <c r="B28" s="55" t="s">
        <v>405</v>
      </c>
      <c r="C28" s="55" t="s">
        <v>390</v>
      </c>
      <c r="D28" s="82" t="s">
        <v>25</v>
      </c>
      <c r="E28" s="82" t="s">
        <v>9</v>
      </c>
      <c r="F28" s="83">
        <f>72431.28/36*3</f>
        <v>6035.9400000000005</v>
      </c>
      <c r="G28" s="83">
        <f>144862.56/36*12+5000+17811.348+20000</f>
        <v>91098.868000000002</v>
      </c>
      <c r="H28" s="84" t="s">
        <v>61</v>
      </c>
      <c r="I28" s="96">
        <v>2018</v>
      </c>
      <c r="J28" s="86" t="s">
        <v>63</v>
      </c>
      <c r="K28" s="86"/>
      <c r="L28" s="85" t="s">
        <v>290</v>
      </c>
      <c r="M28" s="87" t="s">
        <v>66</v>
      </c>
    </row>
    <row r="29" spans="1:17" s="88" customFormat="1" ht="25.5" x14ac:dyDescent="0.2">
      <c r="A29" s="38">
        <v>11</v>
      </c>
      <c r="B29" s="55" t="s">
        <v>406</v>
      </c>
      <c r="C29" s="55" t="s">
        <v>390</v>
      </c>
      <c r="D29" s="82" t="s">
        <v>25</v>
      </c>
      <c r="E29" s="82" t="s">
        <v>9</v>
      </c>
      <c r="F29" s="83">
        <f>78075.05/24*2</f>
        <v>6506.2541666666666</v>
      </c>
      <c r="G29" s="83">
        <f>156150.09+5000+20000</f>
        <v>181150.09</v>
      </c>
      <c r="H29" s="84" t="s">
        <v>61</v>
      </c>
      <c r="I29" s="96">
        <v>2018</v>
      </c>
      <c r="J29" s="86" t="s">
        <v>63</v>
      </c>
      <c r="K29" s="86"/>
      <c r="L29" s="85" t="s">
        <v>290</v>
      </c>
      <c r="M29" s="87" t="s">
        <v>66</v>
      </c>
    </row>
    <row r="30" spans="1:17" s="88" customFormat="1" ht="12.75" x14ac:dyDescent="0.2">
      <c r="A30" s="105" t="s">
        <v>407</v>
      </c>
      <c r="B30" s="106"/>
      <c r="C30" s="106"/>
      <c r="D30" s="106"/>
      <c r="E30" s="107"/>
      <c r="F30" s="83"/>
      <c r="G30" s="79">
        <f>SUM(G27:G29)*1.09</f>
        <v>3451548.8997966666</v>
      </c>
      <c r="H30" s="84"/>
      <c r="I30" s="85"/>
      <c r="J30" s="86"/>
      <c r="K30" s="86"/>
      <c r="L30" s="86"/>
      <c r="M30" s="87"/>
    </row>
    <row r="31" spans="1:17" x14ac:dyDescent="0.25">
      <c r="A31" s="105" t="s">
        <v>421</v>
      </c>
      <c r="B31" s="106"/>
      <c r="C31" s="106"/>
      <c r="D31" s="106"/>
      <c r="E31" s="107"/>
      <c r="F31" s="83"/>
      <c r="G31" s="79">
        <f>0+'Achizitii directe 2020'!D143</f>
        <v>448451.10270000005</v>
      </c>
      <c r="H31" s="84"/>
      <c r="I31" s="85"/>
      <c r="J31" s="86"/>
      <c r="K31" s="86"/>
      <c r="L31" s="86"/>
      <c r="M31" s="87"/>
    </row>
    <row r="32" spans="1:17" x14ac:dyDescent="0.25">
      <c r="A32" s="105" t="s">
        <v>408</v>
      </c>
      <c r="B32" s="106"/>
      <c r="C32" s="106"/>
      <c r="D32" s="106"/>
      <c r="E32" s="107"/>
      <c r="F32" s="83"/>
      <c r="G32" s="79">
        <f>SUM(G30:G31)</f>
        <v>3900000.0024966667</v>
      </c>
      <c r="H32" s="84"/>
      <c r="I32" s="85"/>
      <c r="J32" s="86"/>
      <c r="K32" s="86"/>
      <c r="L32" s="86"/>
      <c r="M32" s="87"/>
    </row>
    <row r="33" spans="1:13" ht="25.5" x14ac:dyDescent="0.25">
      <c r="A33" s="38">
        <v>12</v>
      </c>
      <c r="B33" s="55" t="s">
        <v>388</v>
      </c>
      <c r="C33" s="40" t="s">
        <v>299</v>
      </c>
      <c r="D33" s="82" t="s">
        <v>25</v>
      </c>
      <c r="E33" s="82" t="s">
        <v>9</v>
      </c>
      <c r="F33" s="83">
        <f>500364/36</f>
        <v>13899</v>
      </c>
      <c r="G33" s="83">
        <f>1728576/36*12-300000</f>
        <v>276192</v>
      </c>
      <c r="H33" s="84" t="s">
        <v>61</v>
      </c>
      <c r="I33" s="85" t="s">
        <v>64</v>
      </c>
      <c r="J33" s="86" t="s">
        <v>63</v>
      </c>
      <c r="K33" s="86"/>
      <c r="L33" s="86" t="s">
        <v>65</v>
      </c>
      <c r="M33" s="87" t="s">
        <v>476</v>
      </c>
    </row>
    <row r="34" spans="1:13" ht="25.5" x14ac:dyDescent="0.25">
      <c r="A34" s="38">
        <v>13</v>
      </c>
      <c r="B34" s="55" t="s">
        <v>388</v>
      </c>
      <c r="C34" s="40" t="s">
        <v>299</v>
      </c>
      <c r="D34" s="82" t="s">
        <v>25</v>
      </c>
      <c r="E34" s="82" t="s">
        <v>7</v>
      </c>
      <c r="F34" s="83">
        <f>295920/36</f>
        <v>8220</v>
      </c>
      <c r="G34" s="83">
        <f>535020/36*12-7831.68</f>
        <v>170508.32</v>
      </c>
      <c r="H34" s="84" t="s">
        <v>61</v>
      </c>
      <c r="I34" s="96">
        <v>2018</v>
      </c>
      <c r="J34" s="86" t="s">
        <v>63</v>
      </c>
      <c r="K34" s="86"/>
      <c r="L34" s="86" t="s">
        <v>65</v>
      </c>
      <c r="M34" s="87" t="s">
        <v>476</v>
      </c>
    </row>
    <row r="35" spans="1:13" ht="25.5" x14ac:dyDescent="0.25">
      <c r="A35" s="38">
        <v>14</v>
      </c>
      <c r="B35" s="55" t="s">
        <v>388</v>
      </c>
      <c r="C35" s="40" t="s">
        <v>299</v>
      </c>
      <c r="D35" s="82" t="s">
        <v>28</v>
      </c>
      <c r="E35" s="82" t="s">
        <v>7</v>
      </c>
      <c r="F35" s="83">
        <f>76097.4/12</f>
        <v>6341.45</v>
      </c>
      <c r="G35" s="83">
        <f>300031.8/12</f>
        <v>25002.649999999998</v>
      </c>
      <c r="H35" s="84" t="s">
        <v>61</v>
      </c>
      <c r="I35" s="96">
        <v>2018</v>
      </c>
      <c r="J35" s="86" t="s">
        <v>63</v>
      </c>
      <c r="K35" s="86"/>
      <c r="L35" s="86" t="s">
        <v>65</v>
      </c>
      <c r="M35" s="87" t="s">
        <v>476</v>
      </c>
    </row>
    <row r="36" spans="1:13" ht="25.5" x14ac:dyDescent="0.25">
      <c r="A36" s="38">
        <v>15</v>
      </c>
      <c r="B36" s="55" t="s">
        <v>388</v>
      </c>
      <c r="C36" s="40" t="s">
        <v>299</v>
      </c>
      <c r="D36" s="82" t="s">
        <v>25</v>
      </c>
      <c r="E36" s="82" t="s">
        <v>9</v>
      </c>
      <c r="F36" s="83">
        <f>76097.4</f>
        <v>76097.399999999994</v>
      </c>
      <c r="G36" s="83">
        <v>76097.399999999994</v>
      </c>
      <c r="H36" s="84" t="s">
        <v>61</v>
      </c>
      <c r="I36" s="85" t="s">
        <v>63</v>
      </c>
      <c r="J36" s="86" t="s">
        <v>63</v>
      </c>
      <c r="K36" s="86"/>
      <c r="L36" s="86" t="s">
        <v>65</v>
      </c>
      <c r="M36" s="87" t="s">
        <v>476</v>
      </c>
    </row>
    <row r="37" spans="1:13" ht="25.5" x14ac:dyDescent="0.25">
      <c r="A37" s="38">
        <v>16</v>
      </c>
      <c r="B37" s="55" t="s">
        <v>388</v>
      </c>
      <c r="C37" s="40" t="s">
        <v>299</v>
      </c>
      <c r="D37" s="82" t="s">
        <v>25</v>
      </c>
      <c r="E37" s="82" t="s">
        <v>9</v>
      </c>
      <c r="F37" s="83">
        <v>78000</v>
      </c>
      <c r="G37" s="83">
        <f>78000</f>
        <v>78000</v>
      </c>
      <c r="H37" s="84" t="s">
        <v>61</v>
      </c>
      <c r="I37" s="85" t="s">
        <v>63</v>
      </c>
      <c r="J37" s="86" t="s">
        <v>63</v>
      </c>
      <c r="K37" s="86"/>
      <c r="L37" s="86" t="s">
        <v>65</v>
      </c>
      <c r="M37" s="87" t="s">
        <v>476</v>
      </c>
    </row>
    <row r="38" spans="1:13" ht="25.5" x14ac:dyDescent="0.25">
      <c r="A38" s="38">
        <v>17</v>
      </c>
      <c r="B38" s="55" t="s">
        <v>388</v>
      </c>
      <c r="C38" s="40" t="s">
        <v>299</v>
      </c>
      <c r="D38" s="82" t="s">
        <v>25</v>
      </c>
      <c r="E38" s="82" t="s">
        <v>9</v>
      </c>
      <c r="F38" s="83">
        <v>78000</v>
      </c>
      <c r="G38" s="83">
        <v>1325124</v>
      </c>
      <c r="H38" s="84" t="s">
        <v>61</v>
      </c>
      <c r="I38" s="85" t="s">
        <v>63</v>
      </c>
      <c r="J38" s="86" t="s">
        <v>63</v>
      </c>
      <c r="K38" s="86"/>
      <c r="L38" s="86" t="s">
        <v>65</v>
      </c>
      <c r="M38" s="87" t="s">
        <v>476</v>
      </c>
    </row>
    <row r="39" spans="1:13" x14ac:dyDescent="0.25">
      <c r="A39" s="105" t="s">
        <v>410</v>
      </c>
      <c r="B39" s="106"/>
      <c r="C39" s="106"/>
      <c r="D39" s="106"/>
      <c r="E39" s="107"/>
      <c r="F39" s="83"/>
      <c r="G39" s="79">
        <f>(G33+G34+G35+G36+G37+G38)*1.19</f>
        <v>2321600.0003</v>
      </c>
      <c r="H39" s="84"/>
      <c r="I39" s="85"/>
      <c r="J39" s="86"/>
      <c r="K39" s="86"/>
      <c r="L39" s="86"/>
      <c r="M39" s="87"/>
    </row>
    <row r="40" spans="1:13" x14ac:dyDescent="0.25">
      <c r="A40" s="105" t="s">
        <v>420</v>
      </c>
      <c r="B40" s="106"/>
      <c r="C40" s="106"/>
      <c r="D40" s="106"/>
      <c r="E40" s="107"/>
      <c r="F40" s="83"/>
      <c r="G40" s="79">
        <f>0+'Achizitii directe 2020'!D172</f>
        <v>428400</v>
      </c>
      <c r="H40" s="84"/>
      <c r="I40" s="85"/>
      <c r="J40" s="86"/>
      <c r="K40" s="86"/>
      <c r="L40" s="86"/>
      <c r="M40" s="87"/>
    </row>
    <row r="41" spans="1:13" x14ac:dyDescent="0.25">
      <c r="A41" s="105" t="s">
        <v>411</v>
      </c>
      <c r="B41" s="106"/>
      <c r="C41" s="106"/>
      <c r="D41" s="106"/>
      <c r="E41" s="107"/>
      <c r="F41" s="83"/>
      <c r="G41" s="79">
        <f>G39+G40</f>
        <v>2750000.0003</v>
      </c>
      <c r="H41" s="84"/>
      <c r="I41" s="85"/>
      <c r="J41" s="86"/>
      <c r="K41" s="86"/>
      <c r="L41" s="86"/>
      <c r="M41" s="87"/>
    </row>
    <row r="42" spans="1:13" ht="25.5" x14ac:dyDescent="0.25">
      <c r="A42" s="38">
        <v>18</v>
      </c>
      <c r="B42" s="55" t="s">
        <v>414</v>
      </c>
      <c r="C42" s="40" t="s">
        <v>415</v>
      </c>
      <c r="D42" s="82" t="s">
        <v>25</v>
      </c>
      <c r="E42" s="82" t="s">
        <v>9</v>
      </c>
      <c r="F42" s="83">
        <f>48192+80399.89+81599.44+1122+6240</f>
        <v>217553.33000000002</v>
      </c>
      <c r="G42" s="83">
        <f>(144576+241199.67+244798.33+10046.4+14976)/12*9+28421.1848</f>
        <v>520118.48479999998</v>
      </c>
      <c r="H42" s="84" t="s">
        <v>61</v>
      </c>
      <c r="I42" s="96">
        <v>2018</v>
      </c>
      <c r="J42" s="86" t="s">
        <v>63</v>
      </c>
      <c r="K42" s="86"/>
      <c r="L42" s="86" t="s">
        <v>65</v>
      </c>
      <c r="M42" s="87" t="s">
        <v>476</v>
      </c>
    </row>
    <row r="43" spans="1:13" x14ac:dyDescent="0.25">
      <c r="A43" s="105" t="s">
        <v>412</v>
      </c>
      <c r="B43" s="106"/>
      <c r="C43" s="106"/>
      <c r="D43" s="106"/>
      <c r="E43" s="107"/>
      <c r="F43" s="83"/>
      <c r="G43" s="79">
        <f>SUM(G42)*1.19</f>
        <v>618940.996912</v>
      </c>
      <c r="H43" s="84"/>
      <c r="I43" s="85"/>
      <c r="J43" s="86"/>
      <c r="K43" s="86"/>
      <c r="L43" s="86"/>
      <c r="M43" s="87"/>
    </row>
    <row r="44" spans="1:13" x14ac:dyDescent="0.25">
      <c r="A44" s="105" t="s">
        <v>419</v>
      </c>
      <c r="B44" s="106"/>
      <c r="C44" s="106"/>
      <c r="D44" s="106"/>
      <c r="E44" s="107"/>
      <c r="F44" s="83"/>
      <c r="G44" s="79">
        <f>0+'Achizitii directe 2020'!D179</f>
        <v>31059</v>
      </c>
      <c r="H44" s="84"/>
      <c r="I44" s="85"/>
      <c r="J44" s="86"/>
      <c r="K44" s="86"/>
      <c r="L44" s="86"/>
      <c r="M44" s="87"/>
    </row>
    <row r="45" spans="1:13" x14ac:dyDescent="0.25">
      <c r="A45" s="105" t="s">
        <v>413</v>
      </c>
      <c r="B45" s="106"/>
      <c r="C45" s="106"/>
      <c r="D45" s="106"/>
      <c r="E45" s="107"/>
      <c r="F45" s="83"/>
      <c r="G45" s="79">
        <f>SUM(G43:G44)</f>
        <v>649999.996912</v>
      </c>
      <c r="H45" s="84"/>
      <c r="I45" s="85"/>
      <c r="J45" s="86"/>
      <c r="K45" s="86"/>
      <c r="L45" s="86"/>
      <c r="M45" s="87"/>
    </row>
    <row r="46" spans="1:13" ht="26.25" x14ac:dyDescent="0.25">
      <c r="A46" s="38">
        <v>19</v>
      </c>
      <c r="B46" s="55" t="s">
        <v>386</v>
      </c>
      <c r="C46" s="57" t="s">
        <v>387</v>
      </c>
      <c r="D46" s="82" t="s">
        <v>25</v>
      </c>
      <c r="E46" s="82" t="s">
        <v>9</v>
      </c>
      <c r="F46" s="83">
        <f>G46/12</f>
        <v>30014.005833333333</v>
      </c>
      <c r="G46" s="83">
        <f>595200/12*8-36631.93</f>
        <v>360168.07</v>
      </c>
      <c r="H46" s="84" t="s">
        <v>61</v>
      </c>
      <c r="I46" s="85" t="s">
        <v>64</v>
      </c>
      <c r="J46" s="86" t="s">
        <v>63</v>
      </c>
      <c r="K46" s="86"/>
      <c r="L46" s="86" t="s">
        <v>65</v>
      </c>
      <c r="M46" s="87" t="s">
        <v>476</v>
      </c>
    </row>
    <row r="47" spans="1:13" x14ac:dyDescent="0.25">
      <c r="A47" s="105" t="s">
        <v>416</v>
      </c>
      <c r="B47" s="106"/>
      <c r="C47" s="106"/>
      <c r="D47" s="106"/>
      <c r="E47" s="107"/>
      <c r="F47" s="83"/>
      <c r="G47" s="79">
        <f>SUM(G46)*1.19</f>
        <v>428600.00329999998</v>
      </c>
      <c r="H47" s="84"/>
      <c r="I47" s="85"/>
      <c r="J47" s="86"/>
      <c r="K47" s="86"/>
      <c r="L47" s="86"/>
      <c r="M47" s="87"/>
    </row>
    <row r="48" spans="1:13" x14ac:dyDescent="0.25">
      <c r="A48" s="105" t="s">
        <v>418</v>
      </c>
      <c r="B48" s="106"/>
      <c r="C48" s="106"/>
      <c r="D48" s="106"/>
      <c r="E48" s="107"/>
      <c r="F48" s="83"/>
      <c r="G48" s="79">
        <f>0+'Achizitii directe 2020'!D181</f>
        <v>71400</v>
      </c>
      <c r="H48" s="84"/>
      <c r="I48" s="85"/>
      <c r="J48" s="86"/>
      <c r="K48" s="86"/>
      <c r="L48" s="86"/>
      <c r="M48" s="87"/>
    </row>
    <row r="49" spans="1:13" x14ac:dyDescent="0.25">
      <c r="A49" s="105" t="s">
        <v>417</v>
      </c>
      <c r="B49" s="106"/>
      <c r="C49" s="106"/>
      <c r="D49" s="106"/>
      <c r="E49" s="107"/>
      <c r="F49" s="83"/>
      <c r="G49" s="79">
        <f>SUM(G47:G48)</f>
        <v>500000.00329999998</v>
      </c>
      <c r="H49" s="84"/>
      <c r="I49" s="85"/>
      <c r="J49" s="86"/>
      <c r="K49" s="86"/>
      <c r="L49" s="86"/>
      <c r="M49" s="87"/>
    </row>
    <row r="50" spans="1:13" ht="25.5" x14ac:dyDescent="0.25">
      <c r="A50" s="38">
        <v>20</v>
      </c>
      <c r="B50" s="31" t="s">
        <v>472</v>
      </c>
      <c r="C50" s="31"/>
      <c r="D50" s="82" t="s">
        <v>25</v>
      </c>
      <c r="E50" s="82" t="s">
        <v>9</v>
      </c>
      <c r="F50" s="83">
        <f>G50</f>
        <v>4033613.4453781513</v>
      </c>
      <c r="G50" s="83">
        <f>4800000/1.19</f>
        <v>4033613.4453781513</v>
      </c>
      <c r="H50" s="84"/>
      <c r="I50" s="85"/>
      <c r="J50" s="86"/>
      <c r="K50" s="86"/>
      <c r="L50" s="86" t="s">
        <v>75</v>
      </c>
      <c r="M50" s="87"/>
    </row>
    <row r="51" spans="1:13" x14ac:dyDescent="0.25">
      <c r="A51" s="105" t="s">
        <v>473</v>
      </c>
      <c r="B51" s="106"/>
      <c r="C51" s="106"/>
      <c r="D51" s="106"/>
      <c r="E51" s="107"/>
      <c r="F51" s="83"/>
      <c r="G51" s="79">
        <f>G50*1.19</f>
        <v>4800000</v>
      </c>
      <c r="H51" s="84"/>
      <c r="I51" s="85"/>
      <c r="J51" s="86"/>
      <c r="K51" s="86"/>
      <c r="L51" s="86"/>
      <c r="M51" s="87"/>
    </row>
    <row r="52" spans="1:13" ht="25.5" x14ac:dyDescent="0.25">
      <c r="A52" s="38">
        <v>21</v>
      </c>
      <c r="B52" s="40" t="s">
        <v>465</v>
      </c>
      <c r="C52" s="40" t="s">
        <v>466</v>
      </c>
      <c r="D52" s="82" t="s">
        <v>25</v>
      </c>
      <c r="E52" s="82" t="s">
        <v>9</v>
      </c>
      <c r="F52" s="83">
        <v>1</v>
      </c>
      <c r="G52" s="83">
        <f>1035000/1.19</f>
        <v>869747.89915966394</v>
      </c>
      <c r="H52" s="84" t="s">
        <v>61</v>
      </c>
      <c r="I52" s="85" t="s">
        <v>467</v>
      </c>
      <c r="J52" s="85" t="s">
        <v>467</v>
      </c>
      <c r="K52" s="86"/>
      <c r="L52" s="86" t="s">
        <v>65</v>
      </c>
      <c r="M52" s="87" t="s">
        <v>476</v>
      </c>
    </row>
    <row r="53" spans="1:13" ht="25.5" x14ac:dyDescent="0.25">
      <c r="A53" s="38">
        <v>22</v>
      </c>
      <c r="B53" s="40" t="s">
        <v>469</v>
      </c>
      <c r="C53" s="40" t="s">
        <v>466</v>
      </c>
      <c r="D53" s="82" t="s">
        <v>25</v>
      </c>
      <c r="E53" s="82" t="s">
        <v>9</v>
      </c>
      <c r="F53" s="83">
        <v>1</v>
      </c>
      <c r="G53" s="83">
        <f>675000/1.19</f>
        <v>567226.89075630251</v>
      </c>
      <c r="H53" s="84" t="s">
        <v>61</v>
      </c>
      <c r="I53" s="85" t="s">
        <v>467</v>
      </c>
      <c r="J53" s="85" t="s">
        <v>467</v>
      </c>
      <c r="K53" s="86"/>
      <c r="L53" s="86" t="s">
        <v>65</v>
      </c>
      <c r="M53" s="87" t="s">
        <v>476</v>
      </c>
    </row>
    <row r="54" spans="1:13" ht="25.5" x14ac:dyDescent="0.25">
      <c r="A54" s="38">
        <v>23</v>
      </c>
      <c r="B54" s="40" t="s">
        <v>470</v>
      </c>
      <c r="C54" s="40" t="s">
        <v>466</v>
      </c>
      <c r="D54" s="82" t="s">
        <v>25</v>
      </c>
      <c r="E54" s="82" t="s">
        <v>9</v>
      </c>
      <c r="F54" s="83">
        <v>1</v>
      </c>
      <c r="G54" s="83">
        <f>407000/1.19</f>
        <v>342016.80672268907</v>
      </c>
      <c r="H54" s="84" t="s">
        <v>61</v>
      </c>
      <c r="I54" s="85" t="s">
        <v>467</v>
      </c>
      <c r="J54" s="85" t="s">
        <v>467</v>
      </c>
      <c r="K54" s="86"/>
      <c r="L54" s="86" t="s">
        <v>65</v>
      </c>
      <c r="M54" s="87" t="s">
        <v>476</v>
      </c>
    </row>
    <row r="55" spans="1:13" ht="25.5" x14ac:dyDescent="0.25">
      <c r="A55" s="38">
        <v>24</v>
      </c>
      <c r="B55" s="72" t="s">
        <v>477</v>
      </c>
      <c r="C55" s="40" t="s">
        <v>466</v>
      </c>
      <c r="D55" s="82" t="s">
        <v>25</v>
      </c>
      <c r="E55" s="82" t="s">
        <v>9</v>
      </c>
      <c r="F55" s="83">
        <v>1</v>
      </c>
      <c r="G55" s="83">
        <f>1725000/1.19</f>
        <v>1449579.8319327731</v>
      </c>
      <c r="H55" s="84" t="s">
        <v>61</v>
      </c>
      <c r="I55" s="85" t="s">
        <v>467</v>
      </c>
      <c r="J55" s="85" t="s">
        <v>467</v>
      </c>
      <c r="K55" s="86"/>
      <c r="L55" s="86" t="s">
        <v>65</v>
      </c>
      <c r="M55" s="87" t="s">
        <v>476</v>
      </c>
    </row>
    <row r="56" spans="1:13" ht="25.5" x14ac:dyDescent="0.25">
      <c r="A56" s="38">
        <v>26</v>
      </c>
      <c r="B56" s="72" t="s">
        <v>471</v>
      </c>
      <c r="C56" s="40" t="s">
        <v>466</v>
      </c>
      <c r="D56" s="82" t="s">
        <v>25</v>
      </c>
      <c r="E56" s="82" t="s">
        <v>9</v>
      </c>
      <c r="F56" s="83">
        <v>1</v>
      </c>
      <c r="G56" s="83">
        <f>900000/1.19</f>
        <v>756302.52100840339</v>
      </c>
      <c r="H56" s="84" t="s">
        <v>61</v>
      </c>
      <c r="I56" s="85" t="s">
        <v>467</v>
      </c>
      <c r="J56" s="85" t="s">
        <v>467</v>
      </c>
      <c r="K56" s="86"/>
      <c r="L56" s="86" t="s">
        <v>65</v>
      </c>
      <c r="M56" s="87" t="s">
        <v>476</v>
      </c>
    </row>
    <row r="57" spans="1:13" x14ac:dyDescent="0.25">
      <c r="A57" s="105" t="s">
        <v>468</v>
      </c>
      <c r="B57" s="106"/>
      <c r="C57" s="106"/>
      <c r="D57" s="106"/>
      <c r="E57" s="107"/>
      <c r="F57" s="83"/>
      <c r="G57" s="79">
        <f>SUM(G52:G56)*1.19</f>
        <v>4741999.9999999991</v>
      </c>
      <c r="H57" s="84"/>
      <c r="I57" s="85"/>
      <c r="J57" s="86"/>
      <c r="K57" s="86"/>
      <c r="L57" s="86"/>
      <c r="M57" s="87"/>
    </row>
    <row r="58" spans="1:13" x14ac:dyDescent="0.25">
      <c r="A58" s="105" t="s">
        <v>474</v>
      </c>
      <c r="B58" s="106"/>
      <c r="C58" s="106"/>
      <c r="D58" s="106"/>
      <c r="E58" s="107"/>
      <c r="F58" s="83"/>
      <c r="G58" s="79">
        <f>G57+G51</f>
        <v>9542000</v>
      </c>
      <c r="H58" s="84"/>
      <c r="I58" s="85"/>
      <c r="J58" s="86"/>
      <c r="K58" s="86"/>
      <c r="L58" s="86"/>
      <c r="M58" s="87"/>
    </row>
    <row r="60" spans="1:13" x14ac:dyDescent="0.25">
      <c r="A60" s="108" t="s">
        <v>423</v>
      </c>
      <c r="B60" s="108"/>
      <c r="C60" s="108"/>
      <c r="D60" s="108"/>
      <c r="E60" s="108"/>
      <c r="F60" s="108"/>
      <c r="G60" s="66">
        <f>G15+G23+G26+G32+G41+G45+G49+'Achizitii directe 2020'!D11+'Achizitii directe 2020'!D15+'Achizitii directe 2020'!D13+'Achizitii directe 2020'!D17+'Achizitii directe 2020'!D19+'Achizitii directe 2020'!D34+'Achizitii directe 2020'!D39+'Achizitii directe 2020'!D78+'Achizitii directe 2020'!D183+'Achizitii directe 2020'!D185+'Achizitii directe 2020'!D203+'Achizitii directe 2020'!D205+'Achizitii directe 2020'!D207+'Achizitii directe 2020'!D209+'Achizitii directe 2020'!D215+'Achizitii directe 2020'!D217+'Achizitii directe 2020'!D219+'Achizitii directe 2020'!D221+G58-0.01</f>
        <v>32699353.998860665</v>
      </c>
    </row>
    <row r="61" spans="1:13" x14ac:dyDescent="0.25">
      <c r="B61" s="1" t="s">
        <v>475</v>
      </c>
      <c r="G61" s="66">
        <f>G58</f>
        <v>9542000</v>
      </c>
      <c r="H61" s="73"/>
    </row>
    <row r="63" spans="1:13" s="63" customFormat="1" ht="36.75" customHeight="1" x14ac:dyDescent="0.2">
      <c r="A63" s="61"/>
      <c r="B63" s="61" t="s">
        <v>450</v>
      </c>
      <c r="C63" s="62"/>
      <c r="E63" s="64"/>
      <c r="F63" s="109" t="s">
        <v>451</v>
      </c>
      <c r="G63" s="109"/>
      <c r="H63" s="109"/>
      <c r="J63" s="110" t="s">
        <v>452</v>
      </c>
      <c r="K63" s="110"/>
      <c r="L63" s="110"/>
      <c r="M63" s="110"/>
    </row>
    <row r="64" spans="1:13" s="63" customFormat="1" ht="12.75" x14ac:dyDescent="0.2">
      <c r="A64" s="61"/>
      <c r="B64" s="61" t="s">
        <v>453</v>
      </c>
      <c r="C64" s="62"/>
      <c r="E64" s="64"/>
      <c r="F64" s="109" t="s">
        <v>454</v>
      </c>
      <c r="G64" s="109"/>
      <c r="H64" s="109"/>
      <c r="J64" s="109" t="s">
        <v>455</v>
      </c>
      <c r="K64" s="109"/>
      <c r="L64" s="109"/>
      <c r="M64" s="109"/>
    </row>
  </sheetData>
  <mergeCells count="41">
    <mergeCell ref="A49:E49"/>
    <mergeCell ref="A43:E43"/>
    <mergeCell ref="A44:E44"/>
    <mergeCell ref="A45:E45"/>
    <mergeCell ref="A47:E47"/>
    <mergeCell ref="A48:E48"/>
    <mergeCell ref="A31:E31"/>
    <mergeCell ref="A32:E32"/>
    <mergeCell ref="A39:E39"/>
    <mergeCell ref="A40:E40"/>
    <mergeCell ref="A41:E41"/>
    <mergeCell ref="A23:E23"/>
    <mergeCell ref="A25:E25"/>
    <mergeCell ref="A26:E26"/>
    <mergeCell ref="A30:E30"/>
    <mergeCell ref="A13:E13"/>
    <mergeCell ref="A14:E14"/>
    <mergeCell ref="A15:E15"/>
    <mergeCell ref="A21:E21"/>
    <mergeCell ref="A22:E22"/>
    <mergeCell ref="A8:M8"/>
    <mergeCell ref="A9:A10"/>
    <mergeCell ref="B9:B10"/>
    <mergeCell ref="C9:C10"/>
    <mergeCell ref="D9:D10"/>
    <mergeCell ref="E9:E10"/>
    <mergeCell ref="F9:G9"/>
    <mergeCell ref="H9:H10"/>
    <mergeCell ref="I9:I10"/>
    <mergeCell ref="J9:J10"/>
    <mergeCell ref="J63:M63"/>
    <mergeCell ref="F64:H64"/>
    <mergeCell ref="J64:M64"/>
    <mergeCell ref="K9:K10"/>
    <mergeCell ref="L9:L10"/>
    <mergeCell ref="M9:M10"/>
    <mergeCell ref="A57:E57"/>
    <mergeCell ref="A58:E58"/>
    <mergeCell ref="A51:E51"/>
    <mergeCell ref="A60:F60"/>
    <mergeCell ref="F63:H63"/>
  </mergeCells>
  <dataValidations count="11">
    <dataValidation type="list" allowBlank="1" showInputMessage="1" showErrorMessage="1" sqref="E46 E24 E11:E12 E16:E20 E50">
      <formula1>$P$16:$P$46</formula1>
    </dataValidation>
    <dataValidation type="list" allowBlank="1" showInputMessage="1" showErrorMessage="1" sqref="D12">
      <formula1>$O$46:$O$48</formula1>
    </dataValidation>
    <dataValidation type="list" allowBlank="1" showInputMessage="1" showErrorMessage="1" sqref="D46 D16:D20 D24 D42 D11 D50">
      <formula1>$O$14:$O$21</formula1>
    </dataValidation>
    <dataValidation type="list" allowBlank="1" showInputMessage="1" showErrorMessage="1" sqref="D33:D38 D52:D56 D27:D29">
      <formula1>$O$14:$O$23</formula1>
    </dataValidation>
    <dataValidation type="list" allowBlank="1" showInputMessage="1" showErrorMessage="1" sqref="K39:K50 K30:K32 K17:K26 K11:K15">
      <formula1>$Q$16:$Q$46</formula1>
    </dataValidation>
    <dataValidation type="list" allowBlank="1" showInputMessage="1" showErrorMessage="1" sqref="K33:K38">
      <formula1>$Q$16:$Q$44</formula1>
    </dataValidation>
    <dataValidation type="list" allowBlank="1" showInputMessage="1" showErrorMessage="1" sqref="E33:E38 E42">
      <formula1>$P$16:$P$44</formula1>
    </dataValidation>
    <dataValidation type="list" allowBlank="1" showInputMessage="1" showErrorMessage="1" sqref="E52:E56">
      <formula1>$P$16:$P$48</formula1>
    </dataValidation>
    <dataValidation type="list" allowBlank="1" showInputMessage="1" showErrorMessage="1" sqref="K27:K29">
      <formula1>$Q$16:$Q$45</formula1>
    </dataValidation>
    <dataValidation type="list" allowBlank="1" showInputMessage="1" showErrorMessage="1" sqref="E27:E29">
      <formula1>$P$16:$P$45</formula1>
    </dataValidation>
    <dataValidation type="list" allowBlank="1" showInputMessage="1" showErrorMessage="1" sqref="K51:K58">
      <formula1>$Q$16:$Q$48</formula1>
    </dataValidation>
  </dataValidations>
  <pageMargins left="0.25" right="0.25" top="0.75" bottom="0.75" header="0.3" footer="0.3"/>
  <pageSetup paperSize="9" scale="5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25"/>
  <sheetViews>
    <sheetView tabSelected="1" view="pageBreakPreview" topLeftCell="A202" zoomScaleNormal="100" zoomScaleSheetLayoutView="100" workbookViewId="0">
      <selection activeCell="A222" sqref="A222:C222"/>
    </sheetView>
  </sheetViews>
  <sheetFormatPr defaultColWidth="8.85546875" defaultRowHeight="15" x14ac:dyDescent="0.25"/>
  <cols>
    <col min="1" max="1" width="7.5703125" style="18" customWidth="1"/>
    <col min="2" max="2" width="59.7109375" style="1" customWidth="1"/>
    <col min="3" max="3" width="47" style="17" customWidth="1"/>
    <col min="4" max="4" width="19.28515625" style="1" customWidth="1"/>
    <col min="5" max="5" width="13.5703125" style="1" customWidth="1"/>
    <col min="6" max="6" width="15.28515625" style="1" customWidth="1"/>
    <col min="7" max="7" width="17.7109375" style="1" customWidth="1"/>
    <col min="8" max="8" width="18.7109375" style="1" customWidth="1"/>
    <col min="9" max="9" width="15.7109375" style="1" customWidth="1"/>
    <col min="10" max="10" width="21" style="1" bestFit="1" customWidth="1"/>
    <col min="11" max="11" width="30.7109375" style="1" customWidth="1"/>
    <col min="12" max="12" width="15.7109375" style="1" customWidth="1"/>
    <col min="13" max="16384" width="8.85546875" style="1"/>
  </cols>
  <sheetData>
    <row r="1" spans="1:12" s="70" customFormat="1" x14ac:dyDescent="0.25">
      <c r="A1" s="67" t="s">
        <v>456</v>
      </c>
      <c r="B1" s="68"/>
      <c r="C1" s="68"/>
      <c r="D1" s="69"/>
      <c r="H1" s="71"/>
    </row>
    <row r="2" spans="1:12" s="70" customFormat="1" x14ac:dyDescent="0.25">
      <c r="A2" s="67" t="s">
        <v>457</v>
      </c>
      <c r="B2" s="68"/>
      <c r="C2" s="68"/>
      <c r="D2" s="69"/>
      <c r="H2" s="71"/>
    </row>
    <row r="3" spans="1:12" s="70" customFormat="1" x14ac:dyDescent="0.25">
      <c r="A3" s="67"/>
      <c r="B3" s="68"/>
      <c r="C3" s="68"/>
      <c r="D3" s="69"/>
      <c r="H3" s="71"/>
    </row>
    <row r="4" spans="1:12" s="70" customFormat="1" x14ac:dyDescent="0.25">
      <c r="A4" s="67"/>
      <c r="B4" s="68"/>
      <c r="C4" s="68"/>
      <c r="D4" s="69"/>
      <c r="G4" s="67" t="s">
        <v>458</v>
      </c>
      <c r="H4" s="71"/>
    </row>
    <row r="5" spans="1:12" s="70" customFormat="1" x14ac:dyDescent="0.25">
      <c r="A5" s="61"/>
      <c r="B5" s="68"/>
      <c r="C5" s="68"/>
      <c r="D5" s="69"/>
      <c r="G5" s="64" t="s">
        <v>459</v>
      </c>
      <c r="H5" s="71"/>
    </row>
    <row r="6" spans="1:12" s="70" customFormat="1" x14ac:dyDescent="0.25">
      <c r="A6" s="61"/>
      <c r="B6" s="68"/>
      <c r="C6" s="68"/>
      <c r="D6" s="69"/>
      <c r="G6" s="67" t="s">
        <v>460</v>
      </c>
      <c r="H6" s="71"/>
    </row>
    <row r="7" spans="1:12" s="70" customFormat="1" x14ac:dyDescent="0.25">
      <c r="A7" s="61"/>
      <c r="B7" s="68"/>
      <c r="C7" s="68"/>
      <c r="D7" s="69"/>
      <c r="H7" s="71"/>
    </row>
    <row r="8" spans="1:12" ht="15.75" thickBot="1" x14ac:dyDescent="0.3">
      <c r="A8" s="128" t="s">
        <v>462</v>
      </c>
      <c r="B8" s="128"/>
      <c r="C8" s="128"/>
      <c r="D8" s="128"/>
      <c r="E8" s="128"/>
      <c r="F8" s="128"/>
      <c r="G8" s="128"/>
      <c r="H8" s="128"/>
      <c r="I8" s="128"/>
    </row>
    <row r="9" spans="1:12" ht="39" thickTop="1" x14ac:dyDescent="0.25">
      <c r="A9" s="47" t="s">
        <v>13</v>
      </c>
      <c r="B9" s="48" t="s">
        <v>31</v>
      </c>
      <c r="C9" s="49" t="s">
        <v>17</v>
      </c>
      <c r="D9" s="49" t="s">
        <v>19</v>
      </c>
      <c r="E9" s="50" t="s">
        <v>20</v>
      </c>
      <c r="F9" s="50" t="s">
        <v>32</v>
      </c>
      <c r="G9" s="50" t="s">
        <v>33</v>
      </c>
      <c r="H9" s="51" t="s">
        <v>34</v>
      </c>
      <c r="I9" s="52" t="s">
        <v>35</v>
      </c>
    </row>
    <row r="10" spans="1:12" s="36" customFormat="1" ht="104.25" customHeight="1" x14ac:dyDescent="0.2">
      <c r="A10" s="38">
        <v>1</v>
      </c>
      <c r="B10" s="31" t="s">
        <v>68</v>
      </c>
      <c r="C10" s="55" t="s">
        <v>72</v>
      </c>
      <c r="D10" s="32">
        <f>58000/1.19</f>
        <v>48739.495798319331</v>
      </c>
      <c r="E10" s="33" t="s">
        <v>61</v>
      </c>
      <c r="F10" s="34" t="s">
        <v>62</v>
      </c>
      <c r="G10" s="34" t="s">
        <v>69</v>
      </c>
      <c r="H10" s="34" t="s">
        <v>65</v>
      </c>
      <c r="I10" s="35" t="s">
        <v>70</v>
      </c>
      <c r="K10" s="129"/>
      <c r="L10" s="129"/>
    </row>
    <row r="11" spans="1:12" s="36" customFormat="1" ht="12.75" x14ac:dyDescent="0.2">
      <c r="A11" s="105" t="s">
        <v>424</v>
      </c>
      <c r="B11" s="106"/>
      <c r="C11" s="107"/>
      <c r="D11" s="60">
        <f>SUM(D10)*1.19</f>
        <v>58000</v>
      </c>
      <c r="E11" s="33"/>
      <c r="F11" s="34"/>
      <c r="G11" s="34"/>
      <c r="H11" s="34"/>
      <c r="I11" s="35"/>
      <c r="K11" s="129"/>
      <c r="L11" s="129"/>
    </row>
    <row r="12" spans="1:12" s="36" customFormat="1" ht="154.5" customHeight="1" x14ac:dyDescent="0.2">
      <c r="A12" s="38">
        <v>2</v>
      </c>
      <c r="B12" s="31" t="s">
        <v>71</v>
      </c>
      <c r="C12" s="55" t="s">
        <v>342</v>
      </c>
      <c r="D12" s="32">
        <f>405000/1.19</f>
        <v>340336.13445378153</v>
      </c>
      <c r="E12" s="33" t="s">
        <v>61</v>
      </c>
      <c r="F12" s="34" t="s">
        <v>62</v>
      </c>
      <c r="G12" s="34" t="s">
        <v>69</v>
      </c>
      <c r="H12" s="34" t="s">
        <v>65</v>
      </c>
      <c r="I12" s="35" t="s">
        <v>70</v>
      </c>
      <c r="J12" s="37"/>
      <c r="K12" s="129"/>
      <c r="L12" s="129"/>
    </row>
    <row r="13" spans="1:12" s="36" customFormat="1" ht="12.75" x14ac:dyDescent="0.2">
      <c r="A13" s="105" t="s">
        <v>425</v>
      </c>
      <c r="B13" s="106"/>
      <c r="C13" s="107"/>
      <c r="D13" s="60">
        <f>SUM(D12)*1.19</f>
        <v>405000</v>
      </c>
      <c r="E13" s="33"/>
      <c r="F13" s="34"/>
      <c r="G13" s="34"/>
      <c r="H13" s="34"/>
      <c r="I13" s="35"/>
      <c r="K13" s="129"/>
      <c r="L13" s="129"/>
    </row>
    <row r="14" spans="1:12" ht="99" customHeight="1" x14ac:dyDescent="0.25">
      <c r="A14" s="38">
        <v>3</v>
      </c>
      <c r="B14" s="31" t="s">
        <v>73</v>
      </c>
      <c r="C14" s="56" t="s">
        <v>74</v>
      </c>
      <c r="D14" s="32">
        <f>1500000/1.19</f>
        <v>1260504.2016806724</v>
      </c>
      <c r="E14" s="33" t="s">
        <v>61</v>
      </c>
      <c r="F14" s="34" t="s">
        <v>62</v>
      </c>
      <c r="G14" s="34" t="s">
        <v>69</v>
      </c>
      <c r="H14" s="34" t="s">
        <v>75</v>
      </c>
      <c r="I14" s="35" t="s">
        <v>70</v>
      </c>
      <c r="J14" s="19"/>
      <c r="K14" s="129"/>
      <c r="L14" s="129"/>
    </row>
    <row r="15" spans="1:12" s="36" customFormat="1" ht="18.75" x14ac:dyDescent="0.3">
      <c r="A15" s="105" t="s">
        <v>426</v>
      </c>
      <c r="B15" s="106"/>
      <c r="C15" s="107"/>
      <c r="D15" s="60">
        <f>SUM(D14)*1.19</f>
        <v>1500000</v>
      </c>
      <c r="E15" s="33"/>
      <c r="F15" s="34"/>
      <c r="G15" s="34"/>
      <c r="H15" s="34"/>
      <c r="I15" s="35"/>
      <c r="K15" s="59"/>
      <c r="L15" s="59"/>
    </row>
    <row r="16" spans="1:12" ht="51" x14ac:dyDescent="0.3">
      <c r="A16" s="38">
        <v>4</v>
      </c>
      <c r="B16" s="31" t="s">
        <v>76</v>
      </c>
      <c r="C16" s="56" t="s">
        <v>77</v>
      </c>
      <c r="D16" s="32">
        <f>380000/1.19</f>
        <v>319327.731092437</v>
      </c>
      <c r="E16" s="33" t="s">
        <v>61</v>
      </c>
      <c r="F16" s="34" t="s">
        <v>62</v>
      </c>
      <c r="G16" s="34" t="s">
        <v>69</v>
      </c>
      <c r="H16" s="34" t="s">
        <v>75</v>
      </c>
      <c r="I16" s="35" t="s">
        <v>70</v>
      </c>
      <c r="J16" s="19"/>
      <c r="K16" s="30"/>
      <c r="L16" s="30"/>
    </row>
    <row r="17" spans="1:12" s="36" customFormat="1" ht="18.75" x14ac:dyDescent="0.3">
      <c r="A17" s="105" t="s">
        <v>427</v>
      </c>
      <c r="B17" s="106"/>
      <c r="C17" s="107"/>
      <c r="D17" s="60">
        <f>SUM(D16)*1.19</f>
        <v>380000</v>
      </c>
      <c r="E17" s="33"/>
      <c r="F17" s="34"/>
      <c r="G17" s="34"/>
      <c r="H17" s="34"/>
      <c r="I17" s="35"/>
      <c r="K17" s="59"/>
      <c r="L17" s="59"/>
    </row>
    <row r="18" spans="1:12" ht="25.5" x14ac:dyDescent="0.3">
      <c r="A18" s="38">
        <v>5</v>
      </c>
      <c r="B18" s="39" t="s">
        <v>78</v>
      </c>
      <c r="C18" s="56" t="s">
        <v>79</v>
      </c>
      <c r="D18" s="32">
        <f>16000/1.19</f>
        <v>13445.378151260506</v>
      </c>
      <c r="E18" s="33" t="s">
        <v>61</v>
      </c>
      <c r="F18" s="34" t="s">
        <v>62</v>
      </c>
      <c r="G18" s="34" t="s">
        <v>69</v>
      </c>
      <c r="H18" s="34" t="s">
        <v>75</v>
      </c>
      <c r="I18" s="35" t="s">
        <v>70</v>
      </c>
      <c r="J18" s="19"/>
      <c r="K18" s="30"/>
      <c r="L18" s="30"/>
    </row>
    <row r="19" spans="1:12" s="36" customFormat="1" ht="18.75" x14ac:dyDescent="0.3">
      <c r="A19" s="105" t="s">
        <v>428</v>
      </c>
      <c r="B19" s="106"/>
      <c r="C19" s="107"/>
      <c r="D19" s="60">
        <f>SUM(D18)*1.19</f>
        <v>16000</v>
      </c>
      <c r="E19" s="33"/>
      <c r="F19" s="34"/>
      <c r="G19" s="34"/>
      <c r="H19" s="34"/>
      <c r="I19" s="35"/>
      <c r="K19" s="59"/>
      <c r="L19" s="59"/>
    </row>
    <row r="20" spans="1:12" ht="74.25" customHeight="1" x14ac:dyDescent="0.3">
      <c r="A20" s="38">
        <v>6</v>
      </c>
      <c r="B20" s="40" t="s">
        <v>80</v>
      </c>
      <c r="C20" s="40" t="s">
        <v>84</v>
      </c>
      <c r="D20" s="32">
        <v>10000</v>
      </c>
      <c r="E20" s="33" t="s">
        <v>61</v>
      </c>
      <c r="F20" s="34" t="s">
        <v>62</v>
      </c>
      <c r="G20" s="34" t="s">
        <v>69</v>
      </c>
      <c r="H20" s="34" t="s">
        <v>75</v>
      </c>
      <c r="I20" s="35" t="s">
        <v>70</v>
      </c>
      <c r="J20" s="19"/>
      <c r="K20" s="30"/>
      <c r="L20" s="30"/>
    </row>
    <row r="21" spans="1:12" ht="42" customHeight="1" x14ac:dyDescent="0.3">
      <c r="A21" s="38">
        <v>7</v>
      </c>
      <c r="B21" s="40" t="s">
        <v>81</v>
      </c>
      <c r="C21" s="40" t="s">
        <v>85</v>
      </c>
      <c r="D21" s="32">
        <f>35000+18521.008</f>
        <v>53521.008000000002</v>
      </c>
      <c r="E21" s="33" t="s">
        <v>61</v>
      </c>
      <c r="F21" s="34" t="s">
        <v>62</v>
      </c>
      <c r="G21" s="34" t="s">
        <v>69</v>
      </c>
      <c r="H21" s="34" t="s">
        <v>75</v>
      </c>
      <c r="I21" s="35" t="s">
        <v>70</v>
      </c>
      <c r="J21" s="19"/>
      <c r="K21" s="30"/>
      <c r="L21" s="30"/>
    </row>
    <row r="22" spans="1:12" ht="25.5" customHeight="1" x14ac:dyDescent="0.3">
      <c r="A22" s="38">
        <v>8</v>
      </c>
      <c r="B22" s="40" t="s">
        <v>82</v>
      </c>
      <c r="C22" s="40" t="s">
        <v>86</v>
      </c>
      <c r="D22" s="32">
        <v>30000</v>
      </c>
      <c r="E22" s="33" t="s">
        <v>61</v>
      </c>
      <c r="F22" s="34" t="s">
        <v>62</v>
      </c>
      <c r="G22" s="34" t="s">
        <v>69</v>
      </c>
      <c r="H22" s="34" t="s">
        <v>75</v>
      </c>
      <c r="I22" s="35" t="s">
        <v>70</v>
      </c>
      <c r="J22" s="19"/>
      <c r="K22" s="30"/>
      <c r="L22" s="30"/>
    </row>
    <row r="23" spans="1:12" ht="51" x14ac:dyDescent="0.3">
      <c r="A23" s="38">
        <v>9</v>
      </c>
      <c r="B23" s="40" t="s">
        <v>83</v>
      </c>
      <c r="C23" s="40" t="s">
        <v>87</v>
      </c>
      <c r="D23" s="32">
        <v>25000</v>
      </c>
      <c r="E23" s="33" t="s">
        <v>61</v>
      </c>
      <c r="F23" s="34" t="s">
        <v>62</v>
      </c>
      <c r="G23" s="34" t="s">
        <v>69</v>
      </c>
      <c r="H23" s="34" t="s">
        <v>75</v>
      </c>
      <c r="I23" s="35" t="s">
        <v>70</v>
      </c>
      <c r="J23" s="19"/>
      <c r="K23" s="30"/>
      <c r="L23" s="30"/>
    </row>
    <row r="24" spans="1:12" ht="99" customHeight="1" x14ac:dyDescent="0.3">
      <c r="A24" s="38">
        <v>10</v>
      </c>
      <c r="B24" s="40" t="s">
        <v>88</v>
      </c>
      <c r="C24" s="40" t="s">
        <v>98</v>
      </c>
      <c r="D24" s="32">
        <v>35000</v>
      </c>
      <c r="E24" s="33" t="s">
        <v>61</v>
      </c>
      <c r="F24" s="34" t="s">
        <v>62</v>
      </c>
      <c r="G24" s="34" t="s">
        <v>69</v>
      </c>
      <c r="H24" s="34" t="s">
        <v>75</v>
      </c>
      <c r="I24" s="35" t="s">
        <v>70</v>
      </c>
      <c r="J24" s="19"/>
      <c r="K24" s="30"/>
      <c r="L24" s="30"/>
    </row>
    <row r="25" spans="1:12" ht="38.25" x14ac:dyDescent="0.3">
      <c r="A25" s="38">
        <v>11</v>
      </c>
      <c r="B25" s="40" t="s">
        <v>89</v>
      </c>
      <c r="C25" s="40" t="s">
        <v>99</v>
      </c>
      <c r="D25" s="32">
        <v>10000</v>
      </c>
      <c r="E25" s="33" t="s">
        <v>61</v>
      </c>
      <c r="F25" s="34" t="s">
        <v>62</v>
      </c>
      <c r="G25" s="34" t="s">
        <v>69</v>
      </c>
      <c r="H25" s="34" t="s">
        <v>75</v>
      </c>
      <c r="I25" s="35" t="s">
        <v>70</v>
      </c>
      <c r="J25" s="19"/>
      <c r="K25" s="30"/>
      <c r="L25" s="30"/>
    </row>
    <row r="26" spans="1:12" ht="25.5" x14ac:dyDescent="0.3">
      <c r="A26" s="38">
        <v>12</v>
      </c>
      <c r="B26" s="40" t="s">
        <v>90</v>
      </c>
      <c r="C26" s="40" t="s">
        <v>100</v>
      </c>
      <c r="D26" s="32">
        <f>6000+20000</f>
        <v>26000</v>
      </c>
      <c r="E26" s="33" t="s">
        <v>61</v>
      </c>
      <c r="F26" s="34" t="s">
        <v>62</v>
      </c>
      <c r="G26" s="34" t="s">
        <v>69</v>
      </c>
      <c r="H26" s="34" t="s">
        <v>75</v>
      </c>
      <c r="I26" s="35" t="s">
        <v>70</v>
      </c>
      <c r="J26" s="19"/>
      <c r="K26" s="30"/>
      <c r="L26" s="30"/>
    </row>
    <row r="27" spans="1:12" ht="25.5" customHeight="1" x14ac:dyDescent="0.3">
      <c r="A27" s="38">
        <v>13</v>
      </c>
      <c r="B27" s="40" t="s">
        <v>91</v>
      </c>
      <c r="C27" s="40" t="s">
        <v>101</v>
      </c>
      <c r="D27" s="32">
        <v>25000</v>
      </c>
      <c r="E27" s="33" t="s">
        <v>61</v>
      </c>
      <c r="F27" s="34" t="s">
        <v>62</v>
      </c>
      <c r="G27" s="34" t="s">
        <v>69</v>
      </c>
      <c r="H27" s="34" t="s">
        <v>75</v>
      </c>
      <c r="I27" s="35" t="s">
        <v>70</v>
      </c>
      <c r="J27" s="19"/>
      <c r="K27" s="30"/>
      <c r="L27" s="30"/>
    </row>
    <row r="28" spans="1:12" ht="25.5" customHeight="1" x14ac:dyDescent="0.3">
      <c r="A28" s="38">
        <v>14</v>
      </c>
      <c r="B28" s="40" t="s">
        <v>92</v>
      </c>
      <c r="C28" s="40" t="s">
        <v>102</v>
      </c>
      <c r="D28" s="32">
        <v>15000</v>
      </c>
      <c r="E28" s="33" t="s">
        <v>61</v>
      </c>
      <c r="F28" s="34" t="s">
        <v>62</v>
      </c>
      <c r="G28" s="34" t="s">
        <v>69</v>
      </c>
      <c r="H28" s="34" t="s">
        <v>75</v>
      </c>
      <c r="I28" s="35" t="s">
        <v>70</v>
      </c>
      <c r="J28" s="19"/>
      <c r="K28" s="30"/>
      <c r="L28" s="30"/>
    </row>
    <row r="29" spans="1:12" ht="25.5" x14ac:dyDescent="0.3">
      <c r="A29" s="38">
        <v>15</v>
      </c>
      <c r="B29" s="40" t="s">
        <v>93</v>
      </c>
      <c r="C29" s="40" t="s">
        <v>103</v>
      </c>
      <c r="D29" s="32">
        <v>5000</v>
      </c>
      <c r="E29" s="33" t="s">
        <v>61</v>
      </c>
      <c r="F29" s="34" t="s">
        <v>62</v>
      </c>
      <c r="G29" s="34" t="s">
        <v>69</v>
      </c>
      <c r="H29" s="34" t="s">
        <v>75</v>
      </c>
      <c r="I29" s="35" t="s">
        <v>70</v>
      </c>
      <c r="J29" s="19"/>
      <c r="K29" s="30"/>
      <c r="L29" s="30"/>
    </row>
    <row r="30" spans="1:12" ht="25.5" customHeight="1" x14ac:dyDescent="0.3">
      <c r="A30" s="38">
        <v>16</v>
      </c>
      <c r="B30" s="40" t="s">
        <v>94</v>
      </c>
      <c r="C30" s="40" t="s">
        <v>104</v>
      </c>
      <c r="D30" s="32">
        <v>30000</v>
      </c>
      <c r="E30" s="33" t="s">
        <v>61</v>
      </c>
      <c r="F30" s="34" t="s">
        <v>62</v>
      </c>
      <c r="G30" s="34" t="s">
        <v>69</v>
      </c>
      <c r="H30" s="34" t="s">
        <v>75</v>
      </c>
      <c r="I30" s="35" t="s">
        <v>70</v>
      </c>
      <c r="J30" s="19"/>
      <c r="K30" s="30"/>
      <c r="L30" s="30"/>
    </row>
    <row r="31" spans="1:12" ht="25.5" x14ac:dyDescent="0.3">
      <c r="A31" s="38">
        <v>17</v>
      </c>
      <c r="B31" s="40" t="s">
        <v>95</v>
      </c>
      <c r="C31" s="40" t="s">
        <v>105</v>
      </c>
      <c r="D31" s="32">
        <v>10000</v>
      </c>
      <c r="E31" s="33" t="s">
        <v>61</v>
      </c>
      <c r="F31" s="34" t="s">
        <v>62</v>
      </c>
      <c r="G31" s="34" t="s">
        <v>69</v>
      </c>
      <c r="H31" s="34" t="s">
        <v>75</v>
      </c>
      <c r="I31" s="35" t="s">
        <v>70</v>
      </c>
      <c r="J31" s="19"/>
      <c r="K31" s="30"/>
      <c r="L31" s="30"/>
    </row>
    <row r="32" spans="1:12" ht="25.5" customHeight="1" x14ac:dyDescent="0.3">
      <c r="A32" s="38">
        <v>18</v>
      </c>
      <c r="B32" s="40" t="s">
        <v>96</v>
      </c>
      <c r="C32" s="40" t="s">
        <v>106</v>
      </c>
      <c r="D32" s="32">
        <v>10000</v>
      </c>
      <c r="E32" s="33" t="s">
        <v>61</v>
      </c>
      <c r="F32" s="34" t="s">
        <v>62</v>
      </c>
      <c r="G32" s="34" t="s">
        <v>69</v>
      </c>
      <c r="H32" s="34" t="s">
        <v>75</v>
      </c>
      <c r="I32" s="35" t="s">
        <v>70</v>
      </c>
      <c r="J32" s="19"/>
      <c r="K32" s="30"/>
      <c r="L32" s="30"/>
    </row>
    <row r="33" spans="1:12" ht="25.5" customHeight="1" x14ac:dyDescent="0.3">
      <c r="A33" s="38">
        <v>19</v>
      </c>
      <c r="B33" s="40" t="s">
        <v>97</v>
      </c>
      <c r="C33" s="40" t="s">
        <v>107</v>
      </c>
      <c r="D33" s="32">
        <v>18000</v>
      </c>
      <c r="E33" s="33" t="s">
        <v>61</v>
      </c>
      <c r="F33" s="34" t="s">
        <v>62</v>
      </c>
      <c r="G33" s="34" t="s">
        <v>69</v>
      </c>
      <c r="H33" s="34" t="s">
        <v>75</v>
      </c>
      <c r="I33" s="35" t="s">
        <v>70</v>
      </c>
      <c r="J33" s="19"/>
      <c r="K33" s="30"/>
      <c r="L33" s="30"/>
    </row>
    <row r="34" spans="1:12" s="36" customFormat="1" ht="18.75" x14ac:dyDescent="0.3">
      <c r="A34" s="105" t="s">
        <v>429</v>
      </c>
      <c r="B34" s="106"/>
      <c r="C34" s="107"/>
      <c r="D34" s="60">
        <f>SUM(D20:D33)*1.19</f>
        <v>359999.99952000001</v>
      </c>
      <c r="E34" s="33"/>
      <c r="F34" s="34"/>
      <c r="G34" s="34"/>
      <c r="H34" s="34"/>
      <c r="I34" s="35"/>
      <c r="K34" s="59"/>
      <c r="L34" s="59"/>
    </row>
    <row r="35" spans="1:12" ht="25.5" customHeight="1" x14ac:dyDescent="0.3">
      <c r="A35" s="38">
        <v>20</v>
      </c>
      <c r="B35" s="40" t="s">
        <v>108</v>
      </c>
      <c r="C35" s="40" t="s">
        <v>112</v>
      </c>
      <c r="D35" s="32">
        <v>22789.919000000002</v>
      </c>
      <c r="E35" s="33" t="s">
        <v>61</v>
      </c>
      <c r="F35" s="34" t="s">
        <v>62</v>
      </c>
      <c r="G35" s="34" t="s">
        <v>69</v>
      </c>
      <c r="H35" s="34" t="s">
        <v>75</v>
      </c>
      <c r="I35" s="35" t="s">
        <v>70</v>
      </c>
      <c r="J35" s="19"/>
      <c r="K35" s="30"/>
      <c r="L35" s="30"/>
    </row>
    <row r="36" spans="1:12" ht="25.5" customHeight="1" x14ac:dyDescent="0.3">
      <c r="A36" s="38">
        <v>21</v>
      </c>
      <c r="B36" s="40" t="s">
        <v>109</v>
      </c>
      <c r="C36" s="40" t="s">
        <v>113</v>
      </c>
      <c r="D36" s="32">
        <v>25000</v>
      </c>
      <c r="E36" s="33" t="s">
        <v>61</v>
      </c>
      <c r="F36" s="34" t="s">
        <v>62</v>
      </c>
      <c r="G36" s="34" t="s">
        <v>69</v>
      </c>
      <c r="H36" s="34" t="s">
        <v>75</v>
      </c>
      <c r="I36" s="35" t="s">
        <v>70</v>
      </c>
      <c r="J36" s="19"/>
      <c r="K36" s="30"/>
      <c r="L36" s="30"/>
    </row>
    <row r="37" spans="1:12" ht="25.5" customHeight="1" x14ac:dyDescent="0.3">
      <c r="A37" s="38">
        <v>22</v>
      </c>
      <c r="B37" s="40" t="s">
        <v>110</v>
      </c>
      <c r="C37" s="40" t="s">
        <v>114</v>
      </c>
      <c r="D37" s="32">
        <v>5000</v>
      </c>
      <c r="E37" s="33" t="s">
        <v>61</v>
      </c>
      <c r="F37" s="34" t="s">
        <v>62</v>
      </c>
      <c r="G37" s="34" t="s">
        <v>69</v>
      </c>
      <c r="H37" s="34" t="s">
        <v>75</v>
      </c>
      <c r="I37" s="35" t="s">
        <v>70</v>
      </c>
      <c r="J37" s="19"/>
      <c r="K37" s="30"/>
      <c r="L37" s="30"/>
    </row>
    <row r="38" spans="1:12" ht="25.5" x14ac:dyDescent="0.3">
      <c r="A38" s="38">
        <v>23</v>
      </c>
      <c r="B38" s="40" t="s">
        <v>111</v>
      </c>
      <c r="C38" s="40" t="s">
        <v>115</v>
      </c>
      <c r="D38" s="32">
        <v>22000</v>
      </c>
      <c r="E38" s="33" t="s">
        <v>61</v>
      </c>
      <c r="F38" s="34" t="s">
        <v>62</v>
      </c>
      <c r="G38" s="34" t="s">
        <v>69</v>
      </c>
      <c r="H38" s="34" t="s">
        <v>75</v>
      </c>
      <c r="I38" s="35" t="s">
        <v>70</v>
      </c>
      <c r="J38" s="19"/>
      <c r="K38" s="30"/>
      <c r="L38" s="30"/>
    </row>
    <row r="39" spans="1:12" s="36" customFormat="1" ht="18.75" x14ac:dyDescent="0.3">
      <c r="A39" s="105" t="s">
        <v>430</v>
      </c>
      <c r="B39" s="106"/>
      <c r="C39" s="107"/>
      <c r="D39" s="60">
        <f>SUM(D35:D38)*1.19</f>
        <v>89000.003609999985</v>
      </c>
      <c r="E39" s="33"/>
      <c r="F39" s="34"/>
      <c r="G39" s="34"/>
      <c r="H39" s="34"/>
      <c r="I39" s="35"/>
      <c r="K39" s="59"/>
      <c r="L39" s="59"/>
    </row>
    <row r="40" spans="1:12" ht="25.5" customHeight="1" x14ac:dyDescent="0.3">
      <c r="A40" s="38">
        <v>24</v>
      </c>
      <c r="B40" s="40" t="s">
        <v>116</v>
      </c>
      <c r="C40" s="40" t="s">
        <v>128</v>
      </c>
      <c r="D40" s="32">
        <v>5000</v>
      </c>
      <c r="E40" s="33" t="s">
        <v>61</v>
      </c>
      <c r="F40" s="34" t="s">
        <v>62</v>
      </c>
      <c r="G40" s="34" t="s">
        <v>69</v>
      </c>
      <c r="H40" s="34" t="s">
        <v>75</v>
      </c>
      <c r="I40" s="35" t="s">
        <v>70</v>
      </c>
      <c r="J40" s="19"/>
      <c r="K40" s="30"/>
      <c r="L40" s="30"/>
    </row>
    <row r="41" spans="1:12" ht="25.5" customHeight="1" x14ac:dyDescent="0.3">
      <c r="A41" s="38">
        <v>25</v>
      </c>
      <c r="B41" s="40" t="s">
        <v>117</v>
      </c>
      <c r="C41" s="40" t="s">
        <v>85</v>
      </c>
      <c r="D41" s="32">
        <v>40000</v>
      </c>
      <c r="E41" s="33" t="s">
        <v>61</v>
      </c>
      <c r="F41" s="34" t="s">
        <v>62</v>
      </c>
      <c r="G41" s="34" t="s">
        <v>69</v>
      </c>
      <c r="H41" s="34" t="s">
        <v>75</v>
      </c>
      <c r="I41" s="35" t="s">
        <v>70</v>
      </c>
      <c r="J41" s="19"/>
      <c r="K41" s="30"/>
      <c r="L41" s="30"/>
    </row>
    <row r="42" spans="1:12" ht="25.5" customHeight="1" x14ac:dyDescent="0.3">
      <c r="A42" s="38">
        <v>26</v>
      </c>
      <c r="B42" s="40" t="s">
        <v>118</v>
      </c>
      <c r="C42" s="40" t="s">
        <v>129</v>
      </c>
      <c r="D42" s="32">
        <v>500</v>
      </c>
      <c r="E42" s="33" t="s">
        <v>61</v>
      </c>
      <c r="F42" s="34" t="s">
        <v>62</v>
      </c>
      <c r="G42" s="34" t="s">
        <v>69</v>
      </c>
      <c r="H42" s="34" t="s">
        <v>75</v>
      </c>
      <c r="I42" s="35" t="s">
        <v>70</v>
      </c>
      <c r="J42" s="19"/>
      <c r="K42" s="30"/>
      <c r="L42" s="30"/>
    </row>
    <row r="43" spans="1:12" ht="25.5" customHeight="1" x14ac:dyDescent="0.3">
      <c r="A43" s="38">
        <v>27</v>
      </c>
      <c r="B43" s="40" t="s">
        <v>119</v>
      </c>
      <c r="C43" s="40" t="s">
        <v>130</v>
      </c>
      <c r="D43" s="32">
        <f>18000*12</f>
        <v>216000</v>
      </c>
      <c r="E43" s="33" t="s">
        <v>61</v>
      </c>
      <c r="F43" s="34" t="s">
        <v>62</v>
      </c>
      <c r="G43" s="34" t="s">
        <v>69</v>
      </c>
      <c r="H43" s="34" t="s">
        <v>75</v>
      </c>
      <c r="I43" s="35" t="s">
        <v>70</v>
      </c>
      <c r="J43" s="19"/>
      <c r="K43" s="30"/>
      <c r="L43" s="30"/>
    </row>
    <row r="44" spans="1:12" ht="25.5" customHeight="1" x14ac:dyDescent="0.3">
      <c r="A44" s="38">
        <v>28</v>
      </c>
      <c r="B44" s="40" t="s">
        <v>120</v>
      </c>
      <c r="C44" s="40" t="s">
        <v>130</v>
      </c>
      <c r="D44" s="32">
        <f>7425*12</f>
        <v>89100</v>
      </c>
      <c r="E44" s="33" t="s">
        <v>61</v>
      </c>
      <c r="F44" s="34" t="s">
        <v>62</v>
      </c>
      <c r="G44" s="34" t="s">
        <v>69</v>
      </c>
      <c r="H44" s="34" t="s">
        <v>75</v>
      </c>
      <c r="I44" s="35" t="s">
        <v>70</v>
      </c>
      <c r="J44" s="19"/>
      <c r="K44" s="30"/>
      <c r="L44" s="30"/>
    </row>
    <row r="45" spans="1:12" ht="25.5" customHeight="1" x14ac:dyDescent="0.3">
      <c r="A45" s="38">
        <v>29</v>
      </c>
      <c r="B45" s="40" t="s">
        <v>121</v>
      </c>
      <c r="C45" s="40" t="s">
        <v>131</v>
      </c>
      <c r="D45" s="32">
        <v>30000</v>
      </c>
      <c r="E45" s="33" t="s">
        <v>61</v>
      </c>
      <c r="F45" s="34" t="s">
        <v>62</v>
      </c>
      <c r="G45" s="34" t="s">
        <v>69</v>
      </c>
      <c r="H45" s="34" t="s">
        <v>75</v>
      </c>
      <c r="I45" s="35" t="s">
        <v>70</v>
      </c>
      <c r="J45" s="19"/>
      <c r="K45" s="30"/>
      <c r="L45" s="30"/>
    </row>
    <row r="46" spans="1:12" ht="68.25" customHeight="1" x14ac:dyDescent="0.3">
      <c r="A46" s="38">
        <v>30</v>
      </c>
      <c r="B46" s="40" t="s">
        <v>122</v>
      </c>
      <c r="C46" s="40" t="s">
        <v>132</v>
      </c>
      <c r="D46" s="32">
        <v>50000</v>
      </c>
      <c r="E46" s="33" t="s">
        <v>61</v>
      </c>
      <c r="F46" s="34" t="s">
        <v>62</v>
      </c>
      <c r="G46" s="34" t="s">
        <v>69</v>
      </c>
      <c r="H46" s="34" t="s">
        <v>75</v>
      </c>
      <c r="I46" s="35" t="s">
        <v>70</v>
      </c>
      <c r="J46" s="19"/>
      <c r="K46" s="30"/>
      <c r="L46" s="30"/>
    </row>
    <row r="47" spans="1:12" ht="57" customHeight="1" x14ac:dyDescent="0.25">
      <c r="A47" s="38">
        <v>31</v>
      </c>
      <c r="B47" s="40" t="s">
        <v>123</v>
      </c>
      <c r="C47" s="40" t="s">
        <v>133</v>
      </c>
      <c r="D47" s="53">
        <v>10000</v>
      </c>
      <c r="E47" s="33" t="s">
        <v>61</v>
      </c>
      <c r="F47" s="34" t="s">
        <v>62</v>
      </c>
      <c r="G47" s="34" t="s">
        <v>69</v>
      </c>
      <c r="H47" s="34" t="s">
        <v>75</v>
      </c>
      <c r="I47" s="35" t="s">
        <v>70</v>
      </c>
    </row>
    <row r="48" spans="1:12" ht="51" customHeight="1" x14ac:dyDescent="0.25">
      <c r="A48" s="38">
        <v>32</v>
      </c>
      <c r="B48" s="40" t="s">
        <v>124</v>
      </c>
      <c r="C48" s="41" t="s">
        <v>134</v>
      </c>
      <c r="D48" s="53">
        <v>10000</v>
      </c>
      <c r="E48" s="33" t="s">
        <v>61</v>
      </c>
      <c r="F48" s="34" t="s">
        <v>62</v>
      </c>
      <c r="G48" s="34" t="s">
        <v>69</v>
      </c>
      <c r="H48" s="34" t="s">
        <v>75</v>
      </c>
      <c r="I48" s="35" t="s">
        <v>70</v>
      </c>
    </row>
    <row r="49" spans="1:12" ht="25.5" customHeight="1" x14ac:dyDescent="0.25">
      <c r="A49" s="38">
        <v>33</v>
      </c>
      <c r="B49" s="40" t="s">
        <v>125</v>
      </c>
      <c r="C49" s="40" t="s">
        <v>135</v>
      </c>
      <c r="D49" s="53">
        <f>40000-8457.14</f>
        <v>31542.86</v>
      </c>
      <c r="E49" s="33" t="s">
        <v>61</v>
      </c>
      <c r="F49" s="34" t="s">
        <v>62</v>
      </c>
      <c r="G49" s="34" t="s">
        <v>69</v>
      </c>
      <c r="H49" s="34" t="s">
        <v>75</v>
      </c>
      <c r="I49" s="35" t="s">
        <v>70</v>
      </c>
    </row>
    <row r="50" spans="1:12" ht="32.25" customHeight="1" x14ac:dyDescent="0.25">
      <c r="A50" s="38">
        <v>34</v>
      </c>
      <c r="B50" s="40" t="s">
        <v>126</v>
      </c>
      <c r="C50" s="40" t="s">
        <v>136</v>
      </c>
      <c r="D50" s="53">
        <v>50000</v>
      </c>
      <c r="E50" s="33" t="s">
        <v>61</v>
      </c>
      <c r="F50" s="34" t="s">
        <v>62</v>
      </c>
      <c r="G50" s="34" t="s">
        <v>69</v>
      </c>
      <c r="H50" s="34" t="s">
        <v>75</v>
      </c>
      <c r="I50" s="35" t="s">
        <v>70</v>
      </c>
    </row>
    <row r="51" spans="1:12" ht="25.5" x14ac:dyDescent="0.25">
      <c r="A51" s="38">
        <v>35</v>
      </c>
      <c r="B51" s="40" t="s">
        <v>127</v>
      </c>
      <c r="C51" s="40" t="s">
        <v>137</v>
      </c>
      <c r="D51" s="53">
        <v>5000</v>
      </c>
      <c r="E51" s="33" t="s">
        <v>61</v>
      </c>
      <c r="F51" s="34" t="s">
        <v>62</v>
      </c>
      <c r="G51" s="34" t="s">
        <v>69</v>
      </c>
      <c r="H51" s="34" t="s">
        <v>75</v>
      </c>
      <c r="I51" s="35" t="s">
        <v>70</v>
      </c>
    </row>
    <row r="52" spans="1:12" s="36" customFormat="1" ht="18.75" x14ac:dyDescent="0.3">
      <c r="A52" s="105" t="s">
        <v>431</v>
      </c>
      <c r="B52" s="106"/>
      <c r="C52" s="107"/>
      <c r="D52" s="60">
        <f>SUM(D40:D51)*1.19</f>
        <v>639200.00339999993</v>
      </c>
      <c r="E52" s="33"/>
      <c r="F52" s="34"/>
      <c r="G52" s="34"/>
      <c r="H52" s="34"/>
      <c r="I52" s="35"/>
      <c r="K52" s="59"/>
      <c r="L52" s="59"/>
    </row>
    <row r="53" spans="1:12" ht="38.25" customHeight="1" x14ac:dyDescent="0.25">
      <c r="A53" s="38">
        <v>36</v>
      </c>
      <c r="B53" s="40" t="s">
        <v>138</v>
      </c>
      <c r="C53" s="40" t="s">
        <v>157</v>
      </c>
      <c r="D53" s="53">
        <v>13000</v>
      </c>
      <c r="E53" s="33" t="s">
        <v>61</v>
      </c>
      <c r="F53" s="34" t="s">
        <v>62</v>
      </c>
      <c r="G53" s="34" t="s">
        <v>69</v>
      </c>
      <c r="H53" s="34" t="s">
        <v>75</v>
      </c>
      <c r="I53" s="35" t="s">
        <v>70</v>
      </c>
    </row>
    <row r="54" spans="1:12" ht="25.5" customHeight="1" x14ac:dyDescent="0.25">
      <c r="A54" s="38">
        <v>37</v>
      </c>
      <c r="B54" s="40" t="s">
        <v>139</v>
      </c>
      <c r="C54" s="40" t="s">
        <v>158</v>
      </c>
      <c r="D54" s="53">
        <v>70000</v>
      </c>
      <c r="E54" s="33" t="s">
        <v>61</v>
      </c>
      <c r="F54" s="34" t="s">
        <v>62</v>
      </c>
      <c r="G54" s="34" t="s">
        <v>69</v>
      </c>
      <c r="H54" s="34" t="s">
        <v>75</v>
      </c>
      <c r="I54" s="35" t="s">
        <v>70</v>
      </c>
    </row>
    <row r="55" spans="1:12" ht="25.5" customHeight="1" x14ac:dyDescent="0.25">
      <c r="A55" s="38">
        <v>38</v>
      </c>
      <c r="B55" s="40" t="s">
        <v>140</v>
      </c>
      <c r="C55" s="40" t="s">
        <v>159</v>
      </c>
      <c r="D55" s="53">
        <v>2000</v>
      </c>
      <c r="E55" s="33" t="s">
        <v>61</v>
      </c>
      <c r="F55" s="34" t="s">
        <v>62</v>
      </c>
      <c r="G55" s="34" t="s">
        <v>69</v>
      </c>
      <c r="H55" s="34" t="s">
        <v>75</v>
      </c>
      <c r="I55" s="35" t="s">
        <v>70</v>
      </c>
    </row>
    <row r="56" spans="1:12" ht="25.5" customHeight="1" x14ac:dyDescent="0.25">
      <c r="A56" s="38">
        <v>39</v>
      </c>
      <c r="B56" s="40" t="s">
        <v>141</v>
      </c>
      <c r="C56" s="40" t="s">
        <v>160</v>
      </c>
      <c r="D56" s="53">
        <v>1700</v>
      </c>
      <c r="E56" s="33" t="s">
        <v>61</v>
      </c>
      <c r="F56" s="34" t="s">
        <v>62</v>
      </c>
      <c r="G56" s="34" t="s">
        <v>69</v>
      </c>
      <c r="H56" s="34" t="s">
        <v>75</v>
      </c>
      <c r="I56" s="35" t="s">
        <v>70</v>
      </c>
    </row>
    <row r="57" spans="1:12" ht="25.5" customHeight="1" x14ac:dyDescent="0.25">
      <c r="A57" s="38">
        <v>40</v>
      </c>
      <c r="B57" s="40" t="s">
        <v>142</v>
      </c>
      <c r="C57" s="40" t="s">
        <v>161</v>
      </c>
      <c r="D57" s="53">
        <v>3000</v>
      </c>
      <c r="E57" s="33" t="s">
        <v>61</v>
      </c>
      <c r="F57" s="34" t="s">
        <v>62</v>
      </c>
      <c r="G57" s="34" t="s">
        <v>69</v>
      </c>
      <c r="H57" s="34" t="s">
        <v>75</v>
      </c>
      <c r="I57" s="35" t="s">
        <v>70</v>
      </c>
    </row>
    <row r="58" spans="1:12" ht="25.5" customHeight="1" x14ac:dyDescent="0.25">
      <c r="A58" s="38">
        <v>41</v>
      </c>
      <c r="B58" s="40" t="s">
        <v>143</v>
      </c>
      <c r="C58" s="40" t="s">
        <v>162</v>
      </c>
      <c r="D58" s="53">
        <v>15000</v>
      </c>
      <c r="E58" s="33" t="s">
        <v>61</v>
      </c>
      <c r="F58" s="34" t="s">
        <v>62</v>
      </c>
      <c r="G58" s="34" t="s">
        <v>69</v>
      </c>
      <c r="H58" s="34" t="s">
        <v>75</v>
      </c>
      <c r="I58" s="35" t="s">
        <v>70</v>
      </c>
    </row>
    <row r="59" spans="1:12" ht="25.5" customHeight="1" x14ac:dyDescent="0.25">
      <c r="A59" s="38">
        <v>42</v>
      </c>
      <c r="B59" s="40" t="s">
        <v>144</v>
      </c>
      <c r="C59" s="40" t="s">
        <v>163</v>
      </c>
      <c r="D59" s="53">
        <v>40000</v>
      </c>
      <c r="E59" s="33" t="s">
        <v>61</v>
      </c>
      <c r="F59" s="34" t="s">
        <v>62</v>
      </c>
      <c r="G59" s="34" t="s">
        <v>69</v>
      </c>
      <c r="H59" s="34" t="s">
        <v>75</v>
      </c>
      <c r="I59" s="35" t="s">
        <v>70</v>
      </c>
    </row>
    <row r="60" spans="1:12" ht="25.5" customHeight="1" x14ac:dyDescent="0.25">
      <c r="A60" s="38">
        <v>43</v>
      </c>
      <c r="B60" s="40" t="s">
        <v>145</v>
      </c>
      <c r="C60" s="40" t="s">
        <v>164</v>
      </c>
      <c r="D60" s="53">
        <v>40000</v>
      </c>
      <c r="E60" s="33" t="s">
        <v>61</v>
      </c>
      <c r="F60" s="34" t="s">
        <v>62</v>
      </c>
      <c r="G60" s="34" t="s">
        <v>69</v>
      </c>
      <c r="H60" s="34" t="s">
        <v>75</v>
      </c>
      <c r="I60" s="35" t="s">
        <v>70</v>
      </c>
    </row>
    <row r="61" spans="1:12" ht="56.25" customHeight="1" x14ac:dyDescent="0.25">
      <c r="A61" s="38">
        <v>44</v>
      </c>
      <c r="B61" s="40" t="s">
        <v>146</v>
      </c>
      <c r="C61" s="40" t="s">
        <v>165</v>
      </c>
      <c r="D61" s="53">
        <v>50000</v>
      </c>
      <c r="E61" s="33" t="s">
        <v>61</v>
      </c>
      <c r="F61" s="34" t="s">
        <v>62</v>
      </c>
      <c r="G61" s="34" t="s">
        <v>69</v>
      </c>
      <c r="H61" s="34" t="s">
        <v>75</v>
      </c>
      <c r="I61" s="35" t="s">
        <v>70</v>
      </c>
    </row>
    <row r="62" spans="1:12" ht="38.25" customHeight="1" x14ac:dyDescent="0.25">
      <c r="A62" s="38">
        <v>45</v>
      </c>
      <c r="B62" s="40" t="s">
        <v>147</v>
      </c>
      <c r="C62" s="40" t="s">
        <v>166</v>
      </c>
      <c r="D62" s="53">
        <f>1300*12</f>
        <v>15600</v>
      </c>
      <c r="E62" s="33" t="s">
        <v>61</v>
      </c>
      <c r="F62" s="34" t="s">
        <v>62</v>
      </c>
      <c r="G62" s="34" t="s">
        <v>69</v>
      </c>
      <c r="H62" s="34" t="s">
        <v>75</v>
      </c>
      <c r="I62" s="35" t="s">
        <v>70</v>
      </c>
    </row>
    <row r="63" spans="1:12" ht="25.5" customHeight="1" x14ac:dyDescent="0.25">
      <c r="A63" s="38">
        <v>46</v>
      </c>
      <c r="B63" s="40" t="s">
        <v>148</v>
      </c>
      <c r="C63" s="40" t="s">
        <v>167</v>
      </c>
      <c r="D63" s="53">
        <v>136000</v>
      </c>
      <c r="E63" s="33" t="s">
        <v>61</v>
      </c>
      <c r="F63" s="34" t="s">
        <v>62</v>
      </c>
      <c r="G63" s="34" t="s">
        <v>69</v>
      </c>
      <c r="H63" s="34" t="s">
        <v>75</v>
      </c>
      <c r="I63" s="35" t="s">
        <v>70</v>
      </c>
    </row>
    <row r="64" spans="1:12" ht="61.5" customHeight="1" x14ac:dyDescent="0.25">
      <c r="A64" s="38">
        <v>47</v>
      </c>
      <c r="B64" s="40" t="s">
        <v>149</v>
      </c>
      <c r="C64" s="40" t="s">
        <v>168</v>
      </c>
      <c r="D64" s="53">
        <v>50000</v>
      </c>
      <c r="E64" s="33" t="s">
        <v>61</v>
      </c>
      <c r="F64" s="34" t="s">
        <v>62</v>
      </c>
      <c r="G64" s="34" t="s">
        <v>69</v>
      </c>
      <c r="H64" s="34" t="s">
        <v>75</v>
      </c>
      <c r="I64" s="35" t="s">
        <v>70</v>
      </c>
    </row>
    <row r="65" spans="1:12" ht="25.5" customHeight="1" x14ac:dyDescent="0.25">
      <c r="A65" s="38">
        <v>48</v>
      </c>
      <c r="B65" s="40" t="s">
        <v>150</v>
      </c>
      <c r="C65" s="40" t="s">
        <v>169</v>
      </c>
      <c r="D65" s="53">
        <v>7000</v>
      </c>
      <c r="E65" s="33" t="s">
        <v>61</v>
      </c>
      <c r="F65" s="34" t="s">
        <v>62</v>
      </c>
      <c r="G65" s="34" t="s">
        <v>69</v>
      </c>
      <c r="H65" s="34" t="s">
        <v>75</v>
      </c>
      <c r="I65" s="35" t="s">
        <v>70</v>
      </c>
    </row>
    <row r="66" spans="1:12" ht="25.5" customHeight="1" x14ac:dyDescent="0.25">
      <c r="A66" s="38">
        <v>49</v>
      </c>
      <c r="B66" s="40" t="s">
        <v>151</v>
      </c>
      <c r="C66" s="40" t="s">
        <v>170</v>
      </c>
      <c r="D66" s="53">
        <v>1000</v>
      </c>
      <c r="E66" s="33" t="s">
        <v>61</v>
      </c>
      <c r="F66" s="34" t="s">
        <v>62</v>
      </c>
      <c r="G66" s="34" t="s">
        <v>69</v>
      </c>
      <c r="H66" s="34" t="s">
        <v>75</v>
      </c>
      <c r="I66" s="35" t="s">
        <v>70</v>
      </c>
    </row>
    <row r="67" spans="1:12" ht="25.5" customHeight="1" x14ac:dyDescent="0.25">
      <c r="A67" s="38">
        <v>50</v>
      </c>
      <c r="B67" s="40" t="s">
        <v>152</v>
      </c>
      <c r="C67" s="40" t="s">
        <v>171</v>
      </c>
      <c r="D67" s="53">
        <v>136000</v>
      </c>
      <c r="E67" s="33" t="s">
        <v>61</v>
      </c>
      <c r="F67" s="34" t="s">
        <v>62</v>
      </c>
      <c r="G67" s="34" t="s">
        <v>69</v>
      </c>
      <c r="H67" s="34" t="s">
        <v>75</v>
      </c>
      <c r="I67" s="35" t="s">
        <v>70</v>
      </c>
    </row>
    <row r="68" spans="1:12" ht="25.5" customHeight="1" x14ac:dyDescent="0.25">
      <c r="A68" s="38">
        <v>51</v>
      </c>
      <c r="B68" s="40" t="s">
        <v>153</v>
      </c>
      <c r="C68" s="40" t="s">
        <v>172</v>
      </c>
      <c r="D68" s="53">
        <v>1000</v>
      </c>
      <c r="E68" s="33" t="s">
        <v>61</v>
      </c>
      <c r="F68" s="34" t="s">
        <v>62</v>
      </c>
      <c r="G68" s="34" t="s">
        <v>69</v>
      </c>
      <c r="H68" s="34" t="s">
        <v>75</v>
      </c>
      <c r="I68" s="35" t="s">
        <v>70</v>
      </c>
    </row>
    <row r="69" spans="1:12" ht="25.5" customHeight="1" x14ac:dyDescent="0.25">
      <c r="A69" s="38">
        <v>52</v>
      </c>
      <c r="B69" s="40" t="s">
        <v>154</v>
      </c>
      <c r="C69" s="40" t="s">
        <v>173</v>
      </c>
      <c r="D69" s="53">
        <v>30000</v>
      </c>
      <c r="E69" s="33" t="s">
        <v>61</v>
      </c>
      <c r="F69" s="34" t="s">
        <v>62</v>
      </c>
      <c r="G69" s="34" t="s">
        <v>69</v>
      </c>
      <c r="H69" s="34" t="s">
        <v>75</v>
      </c>
      <c r="I69" s="35" t="s">
        <v>70</v>
      </c>
    </row>
    <row r="70" spans="1:12" ht="25.5" customHeight="1" x14ac:dyDescent="0.25">
      <c r="A70" s="38">
        <v>53</v>
      </c>
      <c r="B70" s="40" t="s">
        <v>155</v>
      </c>
      <c r="C70" s="41" t="s">
        <v>174</v>
      </c>
      <c r="D70" s="53">
        <v>35700</v>
      </c>
      <c r="E70" s="33" t="s">
        <v>61</v>
      </c>
      <c r="F70" s="34" t="s">
        <v>62</v>
      </c>
      <c r="G70" s="34" t="s">
        <v>69</v>
      </c>
      <c r="H70" s="34" t="s">
        <v>75</v>
      </c>
      <c r="I70" s="35" t="s">
        <v>70</v>
      </c>
    </row>
    <row r="71" spans="1:12" ht="25.5" customHeight="1" x14ac:dyDescent="0.25">
      <c r="A71" s="38">
        <v>54</v>
      </c>
      <c r="B71" s="40" t="s">
        <v>156</v>
      </c>
      <c r="C71" s="40" t="s">
        <v>175</v>
      </c>
      <c r="D71" s="53">
        <v>3570</v>
      </c>
      <c r="E71" s="33" t="s">
        <v>61</v>
      </c>
      <c r="F71" s="34" t="s">
        <v>62</v>
      </c>
      <c r="G71" s="34" t="s">
        <v>69</v>
      </c>
      <c r="H71" s="34" t="s">
        <v>75</v>
      </c>
      <c r="I71" s="35" t="s">
        <v>70</v>
      </c>
    </row>
    <row r="72" spans="1:12" ht="25.5" customHeight="1" x14ac:dyDescent="0.25">
      <c r="A72" s="38">
        <v>55</v>
      </c>
      <c r="B72" s="40" t="s">
        <v>117</v>
      </c>
      <c r="C72" s="41" t="s">
        <v>85</v>
      </c>
      <c r="D72" s="53">
        <v>27000</v>
      </c>
      <c r="E72" s="33" t="s">
        <v>61</v>
      </c>
      <c r="F72" s="34" t="s">
        <v>62</v>
      </c>
      <c r="G72" s="34" t="s">
        <v>69</v>
      </c>
      <c r="H72" s="34" t="s">
        <v>75</v>
      </c>
      <c r="I72" s="35" t="s">
        <v>70</v>
      </c>
    </row>
    <row r="73" spans="1:12" ht="25.5" x14ac:dyDescent="0.25">
      <c r="A73" s="38">
        <v>56</v>
      </c>
      <c r="B73" s="40" t="s">
        <v>464</v>
      </c>
      <c r="C73" s="41" t="s">
        <v>176</v>
      </c>
      <c r="D73" s="53">
        <f>382319.35</f>
        <v>382319.35</v>
      </c>
      <c r="E73" s="33" t="s">
        <v>61</v>
      </c>
      <c r="F73" s="34" t="s">
        <v>62</v>
      </c>
      <c r="G73" s="34" t="s">
        <v>69</v>
      </c>
      <c r="H73" s="34" t="s">
        <v>75</v>
      </c>
      <c r="I73" s="35" t="s">
        <v>70</v>
      </c>
    </row>
    <row r="74" spans="1:12" s="36" customFormat="1" ht="18.75" x14ac:dyDescent="0.3">
      <c r="A74" s="105" t="s">
        <v>432</v>
      </c>
      <c r="B74" s="106"/>
      <c r="C74" s="107"/>
      <c r="D74" s="60">
        <f>SUM(D53:D73)*1.19</f>
        <v>1261268.3265</v>
      </c>
      <c r="E74" s="33"/>
      <c r="F74" s="34"/>
      <c r="G74" s="34"/>
      <c r="H74" s="34"/>
      <c r="I74" s="35"/>
      <c r="K74" s="59"/>
      <c r="L74" s="59"/>
    </row>
    <row r="75" spans="1:12" ht="89.25" x14ac:dyDescent="0.25">
      <c r="A75" s="38">
        <v>57</v>
      </c>
      <c r="B75" s="40" t="s">
        <v>177</v>
      </c>
      <c r="C75" s="40" t="s">
        <v>178</v>
      </c>
      <c r="D75" s="53">
        <v>40400</v>
      </c>
      <c r="E75" s="33" t="s">
        <v>61</v>
      </c>
      <c r="F75" s="34" t="s">
        <v>62</v>
      </c>
      <c r="G75" s="34" t="s">
        <v>69</v>
      </c>
      <c r="H75" s="34" t="s">
        <v>75</v>
      </c>
      <c r="I75" s="35" t="s">
        <v>70</v>
      </c>
    </row>
    <row r="76" spans="1:12" ht="25.5" x14ac:dyDescent="0.25">
      <c r="A76" s="38">
        <v>58</v>
      </c>
      <c r="B76" s="40" t="s">
        <v>179</v>
      </c>
      <c r="C76" s="42" t="s">
        <v>180</v>
      </c>
      <c r="D76" s="53">
        <v>5000</v>
      </c>
      <c r="E76" s="33" t="s">
        <v>61</v>
      </c>
      <c r="F76" s="34" t="s">
        <v>62</v>
      </c>
      <c r="G76" s="34" t="s">
        <v>69</v>
      </c>
      <c r="H76" s="34" t="s">
        <v>75</v>
      </c>
      <c r="I76" s="35" t="s">
        <v>70</v>
      </c>
    </row>
    <row r="77" spans="1:12" ht="76.5" x14ac:dyDescent="0.25">
      <c r="A77" s="38">
        <v>59</v>
      </c>
      <c r="B77" s="40" t="s">
        <v>181</v>
      </c>
      <c r="C77" s="40" t="s">
        <v>182</v>
      </c>
      <c r="D77" s="53">
        <f>200000+15104.2</f>
        <v>215104.2</v>
      </c>
      <c r="E77" s="33" t="s">
        <v>61</v>
      </c>
      <c r="F77" s="34" t="s">
        <v>62</v>
      </c>
      <c r="G77" s="34" t="s">
        <v>69</v>
      </c>
      <c r="H77" s="34" t="s">
        <v>75</v>
      </c>
      <c r="I77" s="35" t="s">
        <v>70</v>
      </c>
    </row>
    <row r="78" spans="1:12" s="36" customFormat="1" ht="18.75" x14ac:dyDescent="0.3">
      <c r="A78" s="105" t="s">
        <v>433</v>
      </c>
      <c r="B78" s="106"/>
      <c r="C78" s="107"/>
      <c r="D78" s="60">
        <f>SUM(D75:D77)*1.19</f>
        <v>309999.99800000002</v>
      </c>
      <c r="E78" s="33"/>
      <c r="F78" s="34"/>
      <c r="G78" s="34"/>
      <c r="H78" s="34"/>
      <c r="I78" s="35"/>
      <c r="K78" s="59"/>
      <c r="L78" s="59"/>
    </row>
    <row r="79" spans="1:12" ht="25.5" x14ac:dyDescent="0.25">
      <c r="A79" s="38">
        <v>60</v>
      </c>
      <c r="B79" s="43" t="s">
        <v>198</v>
      </c>
      <c r="C79" s="44" t="s">
        <v>199</v>
      </c>
      <c r="D79" s="53">
        <v>600</v>
      </c>
      <c r="E79" s="33" t="s">
        <v>61</v>
      </c>
      <c r="F79" s="34" t="s">
        <v>62</v>
      </c>
      <c r="G79" s="34" t="s">
        <v>69</v>
      </c>
      <c r="H79" s="34" t="s">
        <v>290</v>
      </c>
      <c r="I79" s="35" t="s">
        <v>70</v>
      </c>
    </row>
    <row r="80" spans="1:12" ht="25.5" x14ac:dyDescent="0.25">
      <c r="A80" s="38">
        <v>61</v>
      </c>
      <c r="B80" s="43" t="s">
        <v>240</v>
      </c>
      <c r="C80" s="44" t="s">
        <v>241</v>
      </c>
      <c r="D80" s="53">
        <v>1200</v>
      </c>
      <c r="E80" s="33" t="s">
        <v>61</v>
      </c>
      <c r="F80" s="34" t="s">
        <v>62</v>
      </c>
      <c r="G80" s="34" t="s">
        <v>69</v>
      </c>
      <c r="H80" s="34" t="s">
        <v>290</v>
      </c>
      <c r="I80" s="35" t="s">
        <v>70</v>
      </c>
    </row>
    <row r="81" spans="1:9" ht="25.5" x14ac:dyDescent="0.25">
      <c r="A81" s="38">
        <v>62</v>
      </c>
      <c r="B81" s="43" t="s">
        <v>244</v>
      </c>
      <c r="C81" s="44" t="s">
        <v>245</v>
      </c>
      <c r="D81" s="53">
        <v>9600</v>
      </c>
      <c r="E81" s="33" t="s">
        <v>61</v>
      </c>
      <c r="F81" s="34" t="s">
        <v>62</v>
      </c>
      <c r="G81" s="34" t="s">
        <v>69</v>
      </c>
      <c r="H81" s="34" t="s">
        <v>290</v>
      </c>
      <c r="I81" s="35" t="s">
        <v>70</v>
      </c>
    </row>
    <row r="82" spans="1:9" ht="25.5" x14ac:dyDescent="0.25">
      <c r="A82" s="38">
        <v>63</v>
      </c>
      <c r="B82" s="43" t="s">
        <v>183</v>
      </c>
      <c r="C82" s="44" t="s">
        <v>184</v>
      </c>
      <c r="D82" s="53">
        <v>2000</v>
      </c>
      <c r="E82" s="33" t="s">
        <v>61</v>
      </c>
      <c r="F82" s="34" t="s">
        <v>62</v>
      </c>
      <c r="G82" s="34" t="s">
        <v>69</v>
      </c>
      <c r="H82" s="34" t="s">
        <v>290</v>
      </c>
      <c r="I82" s="35" t="s">
        <v>70</v>
      </c>
    </row>
    <row r="83" spans="1:9" ht="25.5" x14ac:dyDescent="0.25">
      <c r="A83" s="38">
        <v>64</v>
      </c>
      <c r="B83" s="43" t="s">
        <v>205</v>
      </c>
      <c r="C83" s="44" t="s">
        <v>195</v>
      </c>
      <c r="D83" s="53">
        <v>2000</v>
      </c>
      <c r="E83" s="33" t="s">
        <v>61</v>
      </c>
      <c r="F83" s="34" t="s">
        <v>62</v>
      </c>
      <c r="G83" s="34" t="s">
        <v>69</v>
      </c>
      <c r="H83" s="34" t="s">
        <v>290</v>
      </c>
      <c r="I83" s="35" t="s">
        <v>70</v>
      </c>
    </row>
    <row r="84" spans="1:9" ht="38.25" x14ac:dyDescent="0.25">
      <c r="A84" s="38">
        <v>65</v>
      </c>
      <c r="B84" s="44" t="s">
        <v>272</v>
      </c>
      <c r="C84" s="44" t="s">
        <v>273</v>
      </c>
      <c r="D84" s="53">
        <v>1500</v>
      </c>
      <c r="E84" s="33" t="s">
        <v>61</v>
      </c>
      <c r="F84" s="34" t="s">
        <v>62</v>
      </c>
      <c r="G84" s="34" t="s">
        <v>69</v>
      </c>
      <c r="H84" s="34" t="s">
        <v>290</v>
      </c>
      <c r="I84" s="35" t="s">
        <v>70</v>
      </c>
    </row>
    <row r="85" spans="1:9" ht="25.5" x14ac:dyDescent="0.25">
      <c r="A85" s="38">
        <v>66</v>
      </c>
      <c r="B85" s="43" t="s">
        <v>225</v>
      </c>
      <c r="C85" s="44" t="s">
        <v>224</v>
      </c>
      <c r="D85" s="53">
        <v>410</v>
      </c>
      <c r="E85" s="33" t="s">
        <v>61</v>
      </c>
      <c r="F85" s="34" t="s">
        <v>62</v>
      </c>
      <c r="G85" s="34" t="s">
        <v>69</v>
      </c>
      <c r="H85" s="34" t="s">
        <v>290</v>
      </c>
      <c r="I85" s="35" t="s">
        <v>70</v>
      </c>
    </row>
    <row r="86" spans="1:9" ht="25.5" x14ac:dyDescent="0.25">
      <c r="A86" s="38">
        <v>67</v>
      </c>
      <c r="B86" s="43" t="s">
        <v>210</v>
      </c>
      <c r="C86" s="44" t="s">
        <v>211</v>
      </c>
      <c r="D86" s="53">
        <v>200</v>
      </c>
      <c r="E86" s="33" t="s">
        <v>61</v>
      </c>
      <c r="F86" s="34" t="s">
        <v>62</v>
      </c>
      <c r="G86" s="34" t="s">
        <v>69</v>
      </c>
      <c r="H86" s="34" t="s">
        <v>290</v>
      </c>
      <c r="I86" s="35" t="s">
        <v>70</v>
      </c>
    </row>
    <row r="87" spans="1:9" ht="25.5" x14ac:dyDescent="0.25">
      <c r="A87" s="38">
        <v>68</v>
      </c>
      <c r="B87" s="43" t="s">
        <v>271</v>
      </c>
      <c r="C87" s="44" t="s">
        <v>243</v>
      </c>
      <c r="D87" s="53">
        <v>2500</v>
      </c>
      <c r="E87" s="33" t="s">
        <v>61</v>
      </c>
      <c r="F87" s="34" t="s">
        <v>62</v>
      </c>
      <c r="G87" s="34" t="s">
        <v>69</v>
      </c>
      <c r="H87" s="34" t="s">
        <v>290</v>
      </c>
      <c r="I87" s="35" t="s">
        <v>70</v>
      </c>
    </row>
    <row r="88" spans="1:9" ht="25.5" x14ac:dyDescent="0.25">
      <c r="A88" s="38">
        <v>69</v>
      </c>
      <c r="B88" s="43" t="s">
        <v>274</v>
      </c>
      <c r="C88" s="44" t="s">
        <v>243</v>
      </c>
      <c r="D88" s="53">
        <v>800</v>
      </c>
      <c r="E88" s="33" t="s">
        <v>61</v>
      </c>
      <c r="F88" s="34" t="s">
        <v>62</v>
      </c>
      <c r="G88" s="34" t="s">
        <v>69</v>
      </c>
      <c r="H88" s="34" t="s">
        <v>290</v>
      </c>
      <c r="I88" s="35" t="s">
        <v>70</v>
      </c>
    </row>
    <row r="89" spans="1:9" ht="25.5" x14ac:dyDescent="0.25">
      <c r="A89" s="38">
        <v>70</v>
      </c>
      <c r="B89" s="43" t="s">
        <v>261</v>
      </c>
      <c r="C89" s="44" t="s">
        <v>255</v>
      </c>
      <c r="D89" s="53">
        <v>3000</v>
      </c>
      <c r="E89" s="33" t="s">
        <v>61</v>
      </c>
      <c r="F89" s="34" t="s">
        <v>62</v>
      </c>
      <c r="G89" s="34" t="s">
        <v>69</v>
      </c>
      <c r="H89" s="34" t="s">
        <v>290</v>
      </c>
      <c r="I89" s="35" t="s">
        <v>70</v>
      </c>
    </row>
    <row r="90" spans="1:9" ht="25.5" x14ac:dyDescent="0.25">
      <c r="A90" s="38">
        <v>71</v>
      </c>
      <c r="B90" s="43" t="s">
        <v>291</v>
      </c>
      <c r="C90" s="44" t="s">
        <v>223</v>
      </c>
      <c r="D90" s="53">
        <v>2000</v>
      </c>
      <c r="E90" s="33" t="s">
        <v>61</v>
      </c>
      <c r="F90" s="34" t="s">
        <v>62</v>
      </c>
      <c r="G90" s="34" t="s">
        <v>69</v>
      </c>
      <c r="H90" s="34" t="s">
        <v>290</v>
      </c>
      <c r="I90" s="35" t="s">
        <v>70</v>
      </c>
    </row>
    <row r="91" spans="1:9" ht="25.5" x14ac:dyDescent="0.25">
      <c r="A91" s="38">
        <v>72</v>
      </c>
      <c r="B91" s="43" t="s">
        <v>212</v>
      </c>
      <c r="C91" s="44" t="s">
        <v>213</v>
      </c>
      <c r="D91" s="53">
        <v>700</v>
      </c>
      <c r="E91" s="33" t="s">
        <v>61</v>
      </c>
      <c r="F91" s="34" t="s">
        <v>62</v>
      </c>
      <c r="G91" s="34" t="s">
        <v>69</v>
      </c>
      <c r="H91" s="34" t="s">
        <v>290</v>
      </c>
      <c r="I91" s="35" t="s">
        <v>70</v>
      </c>
    </row>
    <row r="92" spans="1:9" ht="25.5" x14ac:dyDescent="0.25">
      <c r="A92" s="38">
        <v>73</v>
      </c>
      <c r="B92" s="45" t="s">
        <v>206</v>
      </c>
      <c r="C92" s="44" t="s">
        <v>207</v>
      </c>
      <c r="D92" s="53">
        <v>36000</v>
      </c>
      <c r="E92" s="33" t="s">
        <v>61</v>
      </c>
      <c r="F92" s="34" t="s">
        <v>62</v>
      </c>
      <c r="G92" s="34" t="s">
        <v>69</v>
      </c>
      <c r="H92" s="34" t="s">
        <v>290</v>
      </c>
      <c r="I92" s="35" t="s">
        <v>70</v>
      </c>
    </row>
    <row r="93" spans="1:9" ht="25.5" x14ac:dyDescent="0.25">
      <c r="A93" s="38">
        <v>74</v>
      </c>
      <c r="B93" s="43" t="s">
        <v>247</v>
      </c>
      <c r="C93" s="44" t="s">
        <v>248</v>
      </c>
      <c r="D93" s="53">
        <v>3000</v>
      </c>
      <c r="E93" s="33" t="s">
        <v>61</v>
      </c>
      <c r="F93" s="34" t="s">
        <v>62</v>
      </c>
      <c r="G93" s="34" t="s">
        <v>69</v>
      </c>
      <c r="H93" s="34" t="s">
        <v>290</v>
      </c>
      <c r="I93" s="35" t="s">
        <v>70</v>
      </c>
    </row>
    <row r="94" spans="1:9" ht="25.5" x14ac:dyDescent="0.25">
      <c r="A94" s="38">
        <v>75</v>
      </c>
      <c r="B94" s="43" t="s">
        <v>249</v>
      </c>
      <c r="C94" s="44" t="s">
        <v>248</v>
      </c>
      <c r="D94" s="53">
        <v>300</v>
      </c>
      <c r="E94" s="33" t="s">
        <v>61</v>
      </c>
      <c r="F94" s="34" t="s">
        <v>62</v>
      </c>
      <c r="G94" s="34" t="s">
        <v>69</v>
      </c>
      <c r="H94" s="34" t="s">
        <v>290</v>
      </c>
      <c r="I94" s="35" t="s">
        <v>70</v>
      </c>
    </row>
    <row r="95" spans="1:9" ht="25.5" x14ac:dyDescent="0.25">
      <c r="A95" s="38">
        <v>76</v>
      </c>
      <c r="B95" s="43" t="s">
        <v>281</v>
      </c>
      <c r="C95" s="44" t="s">
        <v>243</v>
      </c>
      <c r="D95" s="53">
        <f>84000-76166.97</f>
        <v>7833.0299999999988</v>
      </c>
      <c r="E95" s="33" t="s">
        <v>61</v>
      </c>
      <c r="F95" s="34" t="s">
        <v>62</v>
      </c>
      <c r="G95" s="34" t="s">
        <v>69</v>
      </c>
      <c r="H95" s="34" t="s">
        <v>290</v>
      </c>
      <c r="I95" s="35" t="s">
        <v>70</v>
      </c>
    </row>
    <row r="96" spans="1:9" ht="25.5" x14ac:dyDescent="0.25">
      <c r="A96" s="38">
        <v>77</v>
      </c>
      <c r="B96" s="43" t="s">
        <v>265</v>
      </c>
      <c r="C96" s="44" t="s">
        <v>266</v>
      </c>
      <c r="D96" s="53">
        <v>110</v>
      </c>
      <c r="E96" s="33" t="s">
        <v>61</v>
      </c>
      <c r="F96" s="34" t="s">
        <v>62</v>
      </c>
      <c r="G96" s="34" t="s">
        <v>69</v>
      </c>
      <c r="H96" s="34" t="s">
        <v>290</v>
      </c>
      <c r="I96" s="35" t="s">
        <v>70</v>
      </c>
    </row>
    <row r="97" spans="1:9" ht="25.5" x14ac:dyDescent="0.25">
      <c r="A97" s="38">
        <v>78</v>
      </c>
      <c r="B97" s="43" t="s">
        <v>185</v>
      </c>
      <c r="C97" s="44" t="s">
        <v>186</v>
      </c>
      <c r="D97" s="53">
        <v>2500</v>
      </c>
      <c r="E97" s="33" t="s">
        <v>61</v>
      </c>
      <c r="F97" s="34" t="s">
        <v>62</v>
      </c>
      <c r="G97" s="34" t="s">
        <v>69</v>
      </c>
      <c r="H97" s="34" t="s">
        <v>290</v>
      </c>
      <c r="I97" s="35" t="s">
        <v>70</v>
      </c>
    </row>
    <row r="98" spans="1:9" ht="25.5" x14ac:dyDescent="0.25">
      <c r="A98" s="38">
        <v>79</v>
      </c>
      <c r="B98" s="43" t="s">
        <v>283</v>
      </c>
      <c r="C98" s="44" t="s">
        <v>243</v>
      </c>
      <c r="D98" s="53">
        <v>250</v>
      </c>
      <c r="E98" s="33" t="s">
        <v>61</v>
      </c>
      <c r="F98" s="34" t="s">
        <v>62</v>
      </c>
      <c r="G98" s="34" t="s">
        <v>69</v>
      </c>
      <c r="H98" s="34" t="s">
        <v>290</v>
      </c>
      <c r="I98" s="35" t="s">
        <v>70</v>
      </c>
    </row>
    <row r="99" spans="1:9" ht="25.5" x14ac:dyDescent="0.25">
      <c r="A99" s="38">
        <v>80</v>
      </c>
      <c r="B99" s="43" t="s">
        <v>196</v>
      </c>
      <c r="C99" s="44" t="s">
        <v>197</v>
      </c>
      <c r="D99" s="53">
        <v>2200</v>
      </c>
      <c r="E99" s="33" t="s">
        <v>61</v>
      </c>
      <c r="F99" s="34" t="s">
        <v>62</v>
      </c>
      <c r="G99" s="34" t="s">
        <v>69</v>
      </c>
      <c r="H99" s="34" t="s">
        <v>290</v>
      </c>
      <c r="I99" s="35" t="s">
        <v>70</v>
      </c>
    </row>
    <row r="100" spans="1:9" ht="25.5" x14ac:dyDescent="0.25">
      <c r="A100" s="38">
        <v>81</v>
      </c>
      <c r="B100" s="43" t="s">
        <v>191</v>
      </c>
      <c r="C100" s="44" t="s">
        <v>192</v>
      </c>
      <c r="D100" s="53">
        <v>5200</v>
      </c>
      <c r="E100" s="33" t="s">
        <v>61</v>
      </c>
      <c r="F100" s="34" t="s">
        <v>62</v>
      </c>
      <c r="G100" s="34" t="s">
        <v>69</v>
      </c>
      <c r="H100" s="34" t="s">
        <v>290</v>
      </c>
      <c r="I100" s="35" t="s">
        <v>70</v>
      </c>
    </row>
    <row r="101" spans="1:9" ht="25.5" x14ac:dyDescent="0.25">
      <c r="A101" s="38">
        <v>82</v>
      </c>
      <c r="B101" s="43" t="s">
        <v>227</v>
      </c>
      <c r="C101" s="44" t="s">
        <v>228</v>
      </c>
      <c r="D101" s="53">
        <v>4000</v>
      </c>
      <c r="E101" s="33" t="s">
        <v>61</v>
      </c>
      <c r="F101" s="34" t="s">
        <v>62</v>
      </c>
      <c r="G101" s="34" t="s">
        <v>69</v>
      </c>
      <c r="H101" s="34" t="s">
        <v>290</v>
      </c>
      <c r="I101" s="35" t="s">
        <v>70</v>
      </c>
    </row>
    <row r="102" spans="1:9" ht="25.5" x14ac:dyDescent="0.25">
      <c r="A102" s="38">
        <v>83</v>
      </c>
      <c r="B102" s="43" t="s">
        <v>233</v>
      </c>
      <c r="C102" s="44" t="s">
        <v>234</v>
      </c>
      <c r="D102" s="53">
        <v>600</v>
      </c>
      <c r="E102" s="33" t="s">
        <v>61</v>
      </c>
      <c r="F102" s="34" t="s">
        <v>62</v>
      </c>
      <c r="G102" s="34" t="s">
        <v>69</v>
      </c>
      <c r="H102" s="34" t="s">
        <v>290</v>
      </c>
      <c r="I102" s="35" t="s">
        <v>70</v>
      </c>
    </row>
    <row r="103" spans="1:9" ht="25.5" x14ac:dyDescent="0.25">
      <c r="A103" s="38">
        <v>84</v>
      </c>
      <c r="B103" s="43" t="s">
        <v>269</v>
      </c>
      <c r="C103" s="44" t="s">
        <v>239</v>
      </c>
      <c r="D103" s="53">
        <v>1800</v>
      </c>
      <c r="E103" s="33" t="s">
        <v>61</v>
      </c>
      <c r="F103" s="34" t="s">
        <v>62</v>
      </c>
      <c r="G103" s="34" t="s">
        <v>69</v>
      </c>
      <c r="H103" s="34" t="s">
        <v>290</v>
      </c>
      <c r="I103" s="35" t="s">
        <v>70</v>
      </c>
    </row>
    <row r="104" spans="1:9" ht="25.5" x14ac:dyDescent="0.25">
      <c r="A104" s="38">
        <v>85</v>
      </c>
      <c r="B104" s="43" t="s">
        <v>220</v>
      </c>
      <c r="C104" s="44" t="s">
        <v>203</v>
      </c>
      <c r="D104" s="53">
        <v>800</v>
      </c>
      <c r="E104" s="33" t="s">
        <v>61</v>
      </c>
      <c r="F104" s="34" t="s">
        <v>62</v>
      </c>
      <c r="G104" s="34" t="s">
        <v>69</v>
      </c>
      <c r="H104" s="34" t="s">
        <v>290</v>
      </c>
      <c r="I104" s="35" t="s">
        <v>70</v>
      </c>
    </row>
    <row r="105" spans="1:9" ht="25.5" x14ac:dyDescent="0.25">
      <c r="A105" s="38">
        <v>86</v>
      </c>
      <c r="B105" s="43" t="s">
        <v>214</v>
      </c>
      <c r="C105" s="44" t="s">
        <v>215</v>
      </c>
      <c r="D105" s="53">
        <v>400</v>
      </c>
      <c r="E105" s="33" t="s">
        <v>61</v>
      </c>
      <c r="F105" s="34" t="s">
        <v>62</v>
      </c>
      <c r="G105" s="34" t="s">
        <v>69</v>
      </c>
      <c r="H105" s="34" t="s">
        <v>290</v>
      </c>
      <c r="I105" s="35" t="s">
        <v>70</v>
      </c>
    </row>
    <row r="106" spans="1:9" ht="25.5" x14ac:dyDescent="0.25">
      <c r="A106" s="38">
        <v>87</v>
      </c>
      <c r="B106" s="43" t="s">
        <v>258</v>
      </c>
      <c r="C106" s="44" t="s">
        <v>259</v>
      </c>
      <c r="D106" s="53">
        <v>140</v>
      </c>
      <c r="E106" s="33" t="s">
        <v>61</v>
      </c>
      <c r="F106" s="34" t="s">
        <v>62</v>
      </c>
      <c r="G106" s="34" t="s">
        <v>69</v>
      </c>
      <c r="H106" s="34" t="s">
        <v>290</v>
      </c>
      <c r="I106" s="35" t="s">
        <v>70</v>
      </c>
    </row>
    <row r="107" spans="1:9" ht="25.5" x14ac:dyDescent="0.25">
      <c r="A107" s="38">
        <v>88</v>
      </c>
      <c r="B107" s="43" t="s">
        <v>256</v>
      </c>
      <c r="C107" s="44" t="s">
        <v>257</v>
      </c>
      <c r="D107" s="53">
        <v>3500</v>
      </c>
      <c r="E107" s="33" t="s">
        <v>61</v>
      </c>
      <c r="F107" s="34" t="s">
        <v>62</v>
      </c>
      <c r="G107" s="34" t="s">
        <v>69</v>
      </c>
      <c r="H107" s="34" t="s">
        <v>290</v>
      </c>
      <c r="I107" s="35" t="s">
        <v>70</v>
      </c>
    </row>
    <row r="108" spans="1:9" ht="25.5" x14ac:dyDescent="0.25">
      <c r="A108" s="38">
        <v>89</v>
      </c>
      <c r="B108" s="43" t="s">
        <v>237</v>
      </c>
      <c r="C108" s="44" t="s">
        <v>238</v>
      </c>
      <c r="D108" s="53">
        <v>136000</v>
      </c>
      <c r="E108" s="33" t="s">
        <v>61</v>
      </c>
      <c r="F108" s="34" t="s">
        <v>62</v>
      </c>
      <c r="G108" s="34" t="s">
        <v>69</v>
      </c>
      <c r="H108" s="34" t="s">
        <v>290</v>
      </c>
      <c r="I108" s="35" t="s">
        <v>70</v>
      </c>
    </row>
    <row r="109" spans="1:9" ht="25.5" x14ac:dyDescent="0.25">
      <c r="A109" s="38">
        <v>90</v>
      </c>
      <c r="B109" s="43" t="s">
        <v>217</v>
      </c>
      <c r="C109" s="44" t="s">
        <v>209</v>
      </c>
      <c r="D109" s="53">
        <v>4000</v>
      </c>
      <c r="E109" s="33" t="s">
        <v>61</v>
      </c>
      <c r="F109" s="34" t="s">
        <v>62</v>
      </c>
      <c r="G109" s="34" t="s">
        <v>69</v>
      </c>
      <c r="H109" s="34" t="s">
        <v>290</v>
      </c>
      <c r="I109" s="35" t="s">
        <v>70</v>
      </c>
    </row>
    <row r="110" spans="1:9" ht="25.5" x14ac:dyDescent="0.25">
      <c r="A110" s="38">
        <v>91</v>
      </c>
      <c r="B110" s="43" t="s">
        <v>254</v>
      </c>
      <c r="C110" s="44" t="s">
        <v>255</v>
      </c>
      <c r="D110" s="53">
        <v>1600</v>
      </c>
      <c r="E110" s="33" t="s">
        <v>61</v>
      </c>
      <c r="F110" s="34" t="s">
        <v>62</v>
      </c>
      <c r="G110" s="34" t="s">
        <v>69</v>
      </c>
      <c r="H110" s="34" t="s">
        <v>290</v>
      </c>
      <c r="I110" s="35" t="s">
        <v>70</v>
      </c>
    </row>
    <row r="111" spans="1:9" ht="25.5" x14ac:dyDescent="0.25">
      <c r="A111" s="38">
        <v>92</v>
      </c>
      <c r="B111" s="43" t="s">
        <v>193</v>
      </c>
      <c r="C111" s="44" t="s">
        <v>194</v>
      </c>
      <c r="D111" s="53">
        <v>3700</v>
      </c>
      <c r="E111" s="33" t="s">
        <v>61</v>
      </c>
      <c r="F111" s="34" t="s">
        <v>62</v>
      </c>
      <c r="G111" s="34" t="s">
        <v>69</v>
      </c>
      <c r="H111" s="34" t="s">
        <v>290</v>
      </c>
      <c r="I111" s="35" t="s">
        <v>70</v>
      </c>
    </row>
    <row r="112" spans="1:9" ht="25.5" x14ac:dyDescent="0.25">
      <c r="A112" s="38">
        <v>93</v>
      </c>
      <c r="B112" s="43" t="s">
        <v>277</v>
      </c>
      <c r="C112" s="44" t="s">
        <v>257</v>
      </c>
      <c r="D112" s="53">
        <v>2500</v>
      </c>
      <c r="E112" s="33" t="s">
        <v>61</v>
      </c>
      <c r="F112" s="34" t="s">
        <v>62</v>
      </c>
      <c r="G112" s="34" t="s">
        <v>69</v>
      </c>
      <c r="H112" s="34" t="s">
        <v>290</v>
      </c>
      <c r="I112" s="35" t="s">
        <v>70</v>
      </c>
    </row>
    <row r="113" spans="1:9" ht="25.5" x14ac:dyDescent="0.25">
      <c r="A113" s="38">
        <v>94</v>
      </c>
      <c r="B113" s="45" t="s">
        <v>208</v>
      </c>
      <c r="C113" s="44" t="s">
        <v>201</v>
      </c>
      <c r="D113" s="53">
        <v>600</v>
      </c>
      <c r="E113" s="33" t="s">
        <v>61</v>
      </c>
      <c r="F113" s="34" t="s">
        <v>62</v>
      </c>
      <c r="G113" s="34" t="s">
        <v>69</v>
      </c>
      <c r="H113" s="34" t="s">
        <v>290</v>
      </c>
      <c r="I113" s="35" t="s">
        <v>70</v>
      </c>
    </row>
    <row r="114" spans="1:9" ht="25.5" x14ac:dyDescent="0.25">
      <c r="A114" s="38">
        <v>95</v>
      </c>
      <c r="B114" s="43" t="s">
        <v>242</v>
      </c>
      <c r="C114" s="44" t="s">
        <v>243</v>
      </c>
      <c r="D114" s="53">
        <v>900</v>
      </c>
      <c r="E114" s="33" t="s">
        <v>61</v>
      </c>
      <c r="F114" s="34" t="s">
        <v>62</v>
      </c>
      <c r="G114" s="34" t="s">
        <v>69</v>
      </c>
      <c r="H114" s="34" t="s">
        <v>290</v>
      </c>
      <c r="I114" s="35" t="s">
        <v>70</v>
      </c>
    </row>
    <row r="115" spans="1:9" ht="25.5" x14ac:dyDescent="0.25">
      <c r="A115" s="38">
        <v>96</v>
      </c>
      <c r="B115" s="43" t="s">
        <v>221</v>
      </c>
      <c r="C115" s="44" t="s">
        <v>222</v>
      </c>
      <c r="D115" s="53">
        <v>5300</v>
      </c>
      <c r="E115" s="33" t="s">
        <v>61</v>
      </c>
      <c r="F115" s="34" t="s">
        <v>62</v>
      </c>
      <c r="G115" s="34" t="s">
        <v>69</v>
      </c>
      <c r="H115" s="34" t="s">
        <v>290</v>
      </c>
      <c r="I115" s="35" t="s">
        <v>70</v>
      </c>
    </row>
    <row r="116" spans="1:9" ht="25.5" x14ac:dyDescent="0.25">
      <c r="A116" s="38">
        <v>97</v>
      </c>
      <c r="B116" s="43" t="s">
        <v>263</v>
      </c>
      <c r="C116" s="44" t="s">
        <v>264</v>
      </c>
      <c r="D116" s="53">
        <v>160</v>
      </c>
      <c r="E116" s="33" t="s">
        <v>61</v>
      </c>
      <c r="F116" s="34" t="s">
        <v>62</v>
      </c>
      <c r="G116" s="34" t="s">
        <v>69</v>
      </c>
      <c r="H116" s="34" t="s">
        <v>290</v>
      </c>
      <c r="I116" s="35" t="s">
        <v>70</v>
      </c>
    </row>
    <row r="117" spans="1:9" ht="25.5" x14ac:dyDescent="0.25">
      <c r="A117" s="38">
        <v>98</v>
      </c>
      <c r="B117" s="43" t="s">
        <v>286</v>
      </c>
      <c r="C117" s="44" t="s">
        <v>287</v>
      </c>
      <c r="D117" s="53">
        <v>2000</v>
      </c>
      <c r="E117" s="33" t="s">
        <v>61</v>
      </c>
      <c r="F117" s="34" t="s">
        <v>62</v>
      </c>
      <c r="G117" s="34" t="s">
        <v>69</v>
      </c>
      <c r="H117" s="34" t="s">
        <v>290</v>
      </c>
      <c r="I117" s="35" t="s">
        <v>70</v>
      </c>
    </row>
    <row r="118" spans="1:9" ht="25.5" x14ac:dyDescent="0.25">
      <c r="A118" s="38">
        <v>99</v>
      </c>
      <c r="B118" s="43" t="s">
        <v>267</v>
      </c>
      <c r="C118" s="44" t="s">
        <v>255</v>
      </c>
      <c r="D118" s="53">
        <v>200</v>
      </c>
      <c r="E118" s="33" t="s">
        <v>61</v>
      </c>
      <c r="F118" s="34" t="s">
        <v>62</v>
      </c>
      <c r="G118" s="34" t="s">
        <v>69</v>
      </c>
      <c r="H118" s="34" t="s">
        <v>290</v>
      </c>
      <c r="I118" s="35" t="s">
        <v>70</v>
      </c>
    </row>
    <row r="119" spans="1:9" ht="25.5" x14ac:dyDescent="0.25">
      <c r="A119" s="38">
        <v>100</v>
      </c>
      <c r="B119" s="43" t="s">
        <v>276</v>
      </c>
      <c r="C119" s="44" t="s">
        <v>255</v>
      </c>
      <c r="D119" s="53">
        <v>220</v>
      </c>
      <c r="E119" s="33" t="s">
        <v>61</v>
      </c>
      <c r="F119" s="34" t="s">
        <v>62</v>
      </c>
      <c r="G119" s="34" t="s">
        <v>69</v>
      </c>
      <c r="H119" s="34" t="s">
        <v>290</v>
      </c>
      <c r="I119" s="35" t="s">
        <v>70</v>
      </c>
    </row>
    <row r="120" spans="1:9" ht="38.25" x14ac:dyDescent="0.25">
      <c r="A120" s="38">
        <v>101</v>
      </c>
      <c r="B120" s="43" t="s">
        <v>278</v>
      </c>
      <c r="C120" s="44" t="s">
        <v>279</v>
      </c>
      <c r="D120" s="53">
        <v>30</v>
      </c>
      <c r="E120" s="33" t="s">
        <v>61</v>
      </c>
      <c r="F120" s="34" t="s">
        <v>62</v>
      </c>
      <c r="G120" s="34" t="s">
        <v>69</v>
      </c>
      <c r="H120" s="34" t="s">
        <v>290</v>
      </c>
      <c r="I120" s="35" t="s">
        <v>70</v>
      </c>
    </row>
    <row r="121" spans="1:9" ht="25.5" x14ac:dyDescent="0.25">
      <c r="A121" s="38">
        <v>102</v>
      </c>
      <c r="B121" s="43" t="s">
        <v>250</v>
      </c>
      <c r="C121" s="44" t="s">
        <v>251</v>
      </c>
      <c r="D121" s="53">
        <v>34000</v>
      </c>
      <c r="E121" s="33" t="s">
        <v>61</v>
      </c>
      <c r="F121" s="34" t="s">
        <v>62</v>
      </c>
      <c r="G121" s="34" t="s">
        <v>69</v>
      </c>
      <c r="H121" s="34" t="s">
        <v>290</v>
      </c>
      <c r="I121" s="35" t="s">
        <v>70</v>
      </c>
    </row>
    <row r="122" spans="1:9" ht="25.5" x14ac:dyDescent="0.25">
      <c r="A122" s="38">
        <v>103</v>
      </c>
      <c r="B122" s="43" t="s">
        <v>270</v>
      </c>
      <c r="C122" s="44" t="s">
        <v>243</v>
      </c>
      <c r="D122" s="53">
        <v>350</v>
      </c>
      <c r="E122" s="33" t="s">
        <v>61</v>
      </c>
      <c r="F122" s="34" t="s">
        <v>62</v>
      </c>
      <c r="G122" s="34" t="s">
        <v>69</v>
      </c>
      <c r="H122" s="34" t="s">
        <v>290</v>
      </c>
      <c r="I122" s="35" t="s">
        <v>70</v>
      </c>
    </row>
    <row r="123" spans="1:9" ht="25.5" x14ac:dyDescent="0.25">
      <c r="A123" s="38">
        <v>104</v>
      </c>
      <c r="B123" s="43" t="s">
        <v>246</v>
      </c>
      <c r="C123" s="44" t="s">
        <v>241</v>
      </c>
      <c r="D123" s="53">
        <v>600</v>
      </c>
      <c r="E123" s="33" t="s">
        <v>61</v>
      </c>
      <c r="F123" s="34" t="s">
        <v>62</v>
      </c>
      <c r="G123" s="34" t="s">
        <v>69</v>
      </c>
      <c r="H123" s="34" t="s">
        <v>290</v>
      </c>
      <c r="I123" s="35" t="s">
        <v>70</v>
      </c>
    </row>
    <row r="124" spans="1:9" ht="25.5" x14ac:dyDescent="0.25">
      <c r="A124" s="38">
        <v>105</v>
      </c>
      <c r="B124" s="44" t="s">
        <v>288</v>
      </c>
      <c r="C124" s="44" t="s">
        <v>289</v>
      </c>
      <c r="D124" s="53">
        <v>35000</v>
      </c>
      <c r="E124" s="33" t="s">
        <v>61</v>
      </c>
      <c r="F124" s="34" t="s">
        <v>62</v>
      </c>
      <c r="G124" s="34" t="s">
        <v>69</v>
      </c>
      <c r="H124" s="34" t="s">
        <v>290</v>
      </c>
      <c r="I124" s="35" t="s">
        <v>70</v>
      </c>
    </row>
    <row r="125" spans="1:9" ht="51" x14ac:dyDescent="0.25">
      <c r="A125" s="38">
        <v>106</v>
      </c>
      <c r="B125" s="43" t="s">
        <v>231</v>
      </c>
      <c r="C125" s="44" t="s">
        <v>232</v>
      </c>
      <c r="D125" s="53">
        <v>1100</v>
      </c>
      <c r="E125" s="33" t="s">
        <v>61</v>
      </c>
      <c r="F125" s="34" t="s">
        <v>62</v>
      </c>
      <c r="G125" s="34" t="s">
        <v>69</v>
      </c>
      <c r="H125" s="34" t="s">
        <v>290</v>
      </c>
      <c r="I125" s="35" t="s">
        <v>70</v>
      </c>
    </row>
    <row r="126" spans="1:9" ht="25.5" x14ac:dyDescent="0.25">
      <c r="A126" s="38">
        <v>107</v>
      </c>
      <c r="B126" s="43" t="s">
        <v>202</v>
      </c>
      <c r="C126" s="44" t="s">
        <v>203</v>
      </c>
      <c r="D126" s="53">
        <v>1600</v>
      </c>
      <c r="E126" s="33" t="s">
        <v>61</v>
      </c>
      <c r="F126" s="34" t="s">
        <v>62</v>
      </c>
      <c r="G126" s="34" t="s">
        <v>69</v>
      </c>
      <c r="H126" s="34" t="s">
        <v>290</v>
      </c>
      <c r="I126" s="35" t="s">
        <v>70</v>
      </c>
    </row>
    <row r="127" spans="1:9" ht="25.5" x14ac:dyDescent="0.25">
      <c r="A127" s="38">
        <v>108</v>
      </c>
      <c r="B127" s="43" t="s">
        <v>226</v>
      </c>
      <c r="C127" s="44" t="s">
        <v>223</v>
      </c>
      <c r="D127" s="53">
        <v>15000</v>
      </c>
      <c r="E127" s="33" t="s">
        <v>61</v>
      </c>
      <c r="F127" s="34" t="s">
        <v>62</v>
      </c>
      <c r="G127" s="34" t="s">
        <v>69</v>
      </c>
      <c r="H127" s="34" t="s">
        <v>290</v>
      </c>
      <c r="I127" s="35" t="s">
        <v>70</v>
      </c>
    </row>
    <row r="128" spans="1:9" ht="25.5" x14ac:dyDescent="0.25">
      <c r="A128" s="38">
        <v>109</v>
      </c>
      <c r="B128" s="43" t="s">
        <v>187</v>
      </c>
      <c r="C128" s="44" t="s">
        <v>188</v>
      </c>
      <c r="D128" s="53">
        <v>800</v>
      </c>
      <c r="E128" s="33" t="s">
        <v>61</v>
      </c>
      <c r="F128" s="34" t="s">
        <v>62</v>
      </c>
      <c r="G128" s="34" t="s">
        <v>69</v>
      </c>
      <c r="H128" s="34" t="s">
        <v>290</v>
      </c>
      <c r="I128" s="35" t="s">
        <v>70</v>
      </c>
    </row>
    <row r="129" spans="1:12" ht="25.5" x14ac:dyDescent="0.25">
      <c r="A129" s="38">
        <v>110</v>
      </c>
      <c r="B129" s="45" t="s">
        <v>200</v>
      </c>
      <c r="C129" s="44" t="s">
        <v>201</v>
      </c>
      <c r="D129" s="53">
        <v>200</v>
      </c>
      <c r="E129" s="33" t="s">
        <v>61</v>
      </c>
      <c r="F129" s="34" t="s">
        <v>62</v>
      </c>
      <c r="G129" s="34" t="s">
        <v>69</v>
      </c>
      <c r="H129" s="34" t="s">
        <v>290</v>
      </c>
      <c r="I129" s="35" t="s">
        <v>70</v>
      </c>
    </row>
    <row r="130" spans="1:12" ht="25.5" x14ac:dyDescent="0.25">
      <c r="A130" s="38">
        <v>111</v>
      </c>
      <c r="B130" s="43" t="s">
        <v>260</v>
      </c>
      <c r="C130" s="44" t="s">
        <v>239</v>
      </c>
      <c r="D130" s="53">
        <v>350</v>
      </c>
      <c r="E130" s="33" t="s">
        <v>61</v>
      </c>
      <c r="F130" s="34" t="s">
        <v>62</v>
      </c>
      <c r="G130" s="34" t="s">
        <v>69</v>
      </c>
      <c r="H130" s="34" t="s">
        <v>290</v>
      </c>
      <c r="I130" s="35" t="s">
        <v>70</v>
      </c>
    </row>
    <row r="131" spans="1:12" ht="25.5" x14ac:dyDescent="0.25">
      <c r="A131" s="38">
        <v>112</v>
      </c>
      <c r="B131" s="43" t="s">
        <v>229</v>
      </c>
      <c r="C131" s="44" t="s">
        <v>230</v>
      </c>
      <c r="D131" s="53">
        <v>400</v>
      </c>
      <c r="E131" s="33" t="s">
        <v>61</v>
      </c>
      <c r="F131" s="34" t="s">
        <v>62</v>
      </c>
      <c r="G131" s="34" t="s">
        <v>69</v>
      </c>
      <c r="H131" s="34" t="s">
        <v>290</v>
      </c>
      <c r="I131" s="35" t="s">
        <v>70</v>
      </c>
    </row>
    <row r="132" spans="1:12" ht="25.5" x14ac:dyDescent="0.25">
      <c r="A132" s="38">
        <v>113</v>
      </c>
      <c r="B132" s="43" t="s">
        <v>218</v>
      </c>
      <c r="C132" s="44" t="s">
        <v>219</v>
      </c>
      <c r="D132" s="53">
        <v>9000</v>
      </c>
      <c r="E132" s="33" t="s">
        <v>61</v>
      </c>
      <c r="F132" s="34" t="s">
        <v>62</v>
      </c>
      <c r="G132" s="34" t="s">
        <v>69</v>
      </c>
      <c r="H132" s="34" t="s">
        <v>290</v>
      </c>
      <c r="I132" s="35" t="s">
        <v>70</v>
      </c>
    </row>
    <row r="133" spans="1:12" ht="25.5" x14ac:dyDescent="0.25">
      <c r="A133" s="38">
        <v>114</v>
      </c>
      <c r="B133" s="43" t="s">
        <v>282</v>
      </c>
      <c r="C133" s="44" t="s">
        <v>275</v>
      </c>
      <c r="D133" s="53">
        <v>1900</v>
      </c>
      <c r="E133" s="33" t="s">
        <v>61</v>
      </c>
      <c r="F133" s="34" t="s">
        <v>62</v>
      </c>
      <c r="G133" s="34" t="s">
        <v>69</v>
      </c>
      <c r="H133" s="34" t="s">
        <v>290</v>
      </c>
      <c r="I133" s="35" t="s">
        <v>70</v>
      </c>
    </row>
    <row r="134" spans="1:12" ht="25.5" x14ac:dyDescent="0.25">
      <c r="A134" s="38">
        <v>115</v>
      </c>
      <c r="B134" s="43" t="s">
        <v>280</v>
      </c>
      <c r="C134" s="44" t="s">
        <v>279</v>
      </c>
      <c r="D134" s="53">
        <v>300</v>
      </c>
      <c r="E134" s="33" t="s">
        <v>61</v>
      </c>
      <c r="F134" s="34" t="s">
        <v>62</v>
      </c>
      <c r="G134" s="34" t="s">
        <v>69</v>
      </c>
      <c r="H134" s="34" t="s">
        <v>290</v>
      </c>
      <c r="I134" s="35" t="s">
        <v>70</v>
      </c>
    </row>
    <row r="135" spans="1:12" ht="25.5" x14ac:dyDescent="0.25">
      <c r="A135" s="38">
        <v>116</v>
      </c>
      <c r="B135" s="43" t="s">
        <v>284</v>
      </c>
      <c r="C135" s="44" t="s">
        <v>285</v>
      </c>
      <c r="D135" s="53">
        <v>54000</v>
      </c>
      <c r="E135" s="33" t="s">
        <v>61</v>
      </c>
      <c r="F135" s="34" t="s">
        <v>62</v>
      </c>
      <c r="G135" s="34" t="s">
        <v>69</v>
      </c>
      <c r="H135" s="34" t="s">
        <v>290</v>
      </c>
      <c r="I135" s="35" t="s">
        <v>70</v>
      </c>
    </row>
    <row r="136" spans="1:12" ht="25.5" x14ac:dyDescent="0.25">
      <c r="A136" s="38">
        <v>117</v>
      </c>
      <c r="B136" s="43" t="s">
        <v>252</v>
      </c>
      <c r="C136" s="44" t="s">
        <v>253</v>
      </c>
      <c r="D136" s="53">
        <v>1000</v>
      </c>
      <c r="E136" s="33" t="s">
        <v>61</v>
      </c>
      <c r="F136" s="34" t="s">
        <v>62</v>
      </c>
      <c r="G136" s="34" t="s">
        <v>69</v>
      </c>
      <c r="H136" s="34" t="s">
        <v>290</v>
      </c>
      <c r="I136" s="35" t="s">
        <v>70</v>
      </c>
    </row>
    <row r="137" spans="1:12" ht="25.5" x14ac:dyDescent="0.25">
      <c r="A137" s="38">
        <v>118</v>
      </c>
      <c r="B137" s="43" t="s">
        <v>268</v>
      </c>
      <c r="C137" s="44" t="s">
        <v>255</v>
      </c>
      <c r="D137" s="53">
        <v>500</v>
      </c>
      <c r="E137" s="33" t="s">
        <v>61</v>
      </c>
      <c r="F137" s="34" t="s">
        <v>62</v>
      </c>
      <c r="G137" s="34" t="s">
        <v>69</v>
      </c>
      <c r="H137" s="34" t="s">
        <v>290</v>
      </c>
      <c r="I137" s="35" t="s">
        <v>70</v>
      </c>
    </row>
    <row r="138" spans="1:12" ht="25.5" x14ac:dyDescent="0.25">
      <c r="A138" s="38">
        <v>119</v>
      </c>
      <c r="B138" s="43" t="s">
        <v>189</v>
      </c>
      <c r="C138" s="44" t="s">
        <v>190</v>
      </c>
      <c r="D138" s="53">
        <v>200</v>
      </c>
      <c r="E138" s="33" t="s">
        <v>61</v>
      </c>
      <c r="F138" s="34" t="s">
        <v>62</v>
      </c>
      <c r="G138" s="34" t="s">
        <v>69</v>
      </c>
      <c r="H138" s="34" t="s">
        <v>290</v>
      </c>
      <c r="I138" s="35" t="s">
        <v>70</v>
      </c>
    </row>
    <row r="139" spans="1:12" ht="25.5" x14ac:dyDescent="0.25">
      <c r="A139" s="38">
        <v>120</v>
      </c>
      <c r="B139" s="43" t="s">
        <v>204</v>
      </c>
      <c r="C139" s="44" t="s">
        <v>186</v>
      </c>
      <c r="D139" s="53">
        <v>150</v>
      </c>
      <c r="E139" s="33" t="s">
        <v>61</v>
      </c>
      <c r="F139" s="34" t="s">
        <v>62</v>
      </c>
      <c r="G139" s="34" t="s">
        <v>69</v>
      </c>
      <c r="H139" s="34" t="s">
        <v>290</v>
      </c>
      <c r="I139" s="35" t="s">
        <v>70</v>
      </c>
    </row>
    <row r="140" spans="1:12" ht="25.5" x14ac:dyDescent="0.25">
      <c r="A140" s="38">
        <v>121</v>
      </c>
      <c r="B140" s="43" t="s">
        <v>262</v>
      </c>
      <c r="C140" s="44" t="s">
        <v>243</v>
      </c>
      <c r="D140" s="53">
        <v>120</v>
      </c>
      <c r="E140" s="33" t="s">
        <v>61</v>
      </c>
      <c r="F140" s="34" t="s">
        <v>62</v>
      </c>
      <c r="G140" s="34" t="s">
        <v>69</v>
      </c>
      <c r="H140" s="34" t="s">
        <v>290</v>
      </c>
      <c r="I140" s="35" t="s">
        <v>70</v>
      </c>
    </row>
    <row r="141" spans="1:12" ht="25.5" x14ac:dyDescent="0.25">
      <c r="A141" s="38">
        <v>122</v>
      </c>
      <c r="B141" s="43" t="s">
        <v>235</v>
      </c>
      <c r="C141" s="44" t="s">
        <v>236</v>
      </c>
      <c r="D141" s="53">
        <v>1200</v>
      </c>
      <c r="E141" s="33" t="s">
        <v>61</v>
      </c>
      <c r="F141" s="34" t="s">
        <v>62</v>
      </c>
      <c r="G141" s="34" t="s">
        <v>69</v>
      </c>
      <c r="H141" s="34" t="s">
        <v>290</v>
      </c>
      <c r="I141" s="35" t="s">
        <v>70</v>
      </c>
    </row>
    <row r="142" spans="1:12" ht="25.5" x14ac:dyDescent="0.25">
      <c r="A142" s="38">
        <v>123</v>
      </c>
      <c r="B142" s="43" t="s">
        <v>216</v>
      </c>
      <c r="C142" s="44" t="s">
        <v>197</v>
      </c>
      <c r="D142" s="53">
        <v>1300</v>
      </c>
      <c r="E142" s="33" t="s">
        <v>61</v>
      </c>
      <c r="F142" s="34" t="s">
        <v>62</v>
      </c>
      <c r="G142" s="34" t="s">
        <v>69</v>
      </c>
      <c r="H142" s="34" t="s">
        <v>290</v>
      </c>
      <c r="I142" s="35" t="s">
        <v>70</v>
      </c>
    </row>
    <row r="143" spans="1:12" s="36" customFormat="1" ht="18.75" x14ac:dyDescent="0.3">
      <c r="A143" s="105" t="s">
        <v>434</v>
      </c>
      <c r="B143" s="106"/>
      <c r="C143" s="107"/>
      <c r="D143" s="60">
        <f>SUM(D79:D142)*1.09</f>
        <v>448451.10270000005</v>
      </c>
      <c r="E143" s="33"/>
      <c r="F143" s="34"/>
      <c r="G143" s="34"/>
      <c r="H143" s="34"/>
      <c r="I143" s="35"/>
      <c r="K143" s="59"/>
      <c r="L143" s="59"/>
    </row>
    <row r="144" spans="1:12" ht="25.5" x14ac:dyDescent="0.25">
      <c r="A144" s="38">
        <v>124</v>
      </c>
      <c r="B144" s="40" t="s">
        <v>292</v>
      </c>
      <c r="C144" s="40" t="s">
        <v>293</v>
      </c>
      <c r="D144" s="53">
        <v>900</v>
      </c>
      <c r="E144" s="33" t="s">
        <v>61</v>
      </c>
      <c r="F144" s="34" t="s">
        <v>62</v>
      </c>
      <c r="G144" s="34" t="s">
        <v>69</v>
      </c>
      <c r="H144" s="34" t="s">
        <v>65</v>
      </c>
      <c r="I144" s="35" t="s">
        <v>70</v>
      </c>
    </row>
    <row r="145" spans="1:9" ht="25.5" x14ac:dyDescent="0.25">
      <c r="A145" s="38">
        <v>125</v>
      </c>
      <c r="B145" s="40" t="s">
        <v>294</v>
      </c>
      <c r="C145" s="40" t="s">
        <v>293</v>
      </c>
      <c r="D145" s="53">
        <v>900</v>
      </c>
      <c r="E145" s="33" t="s">
        <v>61</v>
      </c>
      <c r="F145" s="34" t="s">
        <v>62</v>
      </c>
      <c r="G145" s="34" t="s">
        <v>69</v>
      </c>
      <c r="H145" s="34" t="s">
        <v>65</v>
      </c>
      <c r="I145" s="35" t="s">
        <v>70</v>
      </c>
    </row>
    <row r="146" spans="1:9" ht="25.5" x14ac:dyDescent="0.25">
      <c r="A146" s="38">
        <v>126</v>
      </c>
      <c r="B146" s="40" t="s">
        <v>341</v>
      </c>
      <c r="C146" s="40" t="s">
        <v>295</v>
      </c>
      <c r="D146" s="53">
        <v>1000</v>
      </c>
      <c r="E146" s="33" t="s">
        <v>61</v>
      </c>
      <c r="F146" s="34" t="s">
        <v>62</v>
      </c>
      <c r="G146" s="34" t="s">
        <v>69</v>
      </c>
      <c r="H146" s="34" t="s">
        <v>65</v>
      </c>
      <c r="I146" s="35" t="s">
        <v>70</v>
      </c>
    </row>
    <row r="147" spans="1:9" ht="25.5" x14ac:dyDescent="0.25">
      <c r="A147" s="38">
        <v>127</v>
      </c>
      <c r="B147" s="40" t="s">
        <v>296</v>
      </c>
      <c r="C147" s="40" t="s">
        <v>297</v>
      </c>
      <c r="D147" s="53">
        <v>1000</v>
      </c>
      <c r="E147" s="33" t="s">
        <v>61</v>
      </c>
      <c r="F147" s="34" t="s">
        <v>62</v>
      </c>
      <c r="G147" s="34" t="s">
        <v>69</v>
      </c>
      <c r="H147" s="34" t="s">
        <v>65</v>
      </c>
      <c r="I147" s="35" t="s">
        <v>70</v>
      </c>
    </row>
    <row r="148" spans="1:9" ht="25.5" x14ac:dyDescent="0.25">
      <c r="A148" s="38">
        <v>128</v>
      </c>
      <c r="B148" s="40" t="s">
        <v>310</v>
      </c>
      <c r="C148" s="40" t="s">
        <v>298</v>
      </c>
      <c r="D148" s="53">
        <v>136000</v>
      </c>
      <c r="E148" s="33" t="s">
        <v>61</v>
      </c>
      <c r="F148" s="34" t="s">
        <v>62</v>
      </c>
      <c r="G148" s="34" t="s">
        <v>69</v>
      </c>
      <c r="H148" s="34" t="s">
        <v>65</v>
      </c>
      <c r="I148" s="35" t="s">
        <v>70</v>
      </c>
    </row>
    <row r="149" spans="1:9" ht="25.5" x14ac:dyDescent="0.25">
      <c r="A149" s="38">
        <v>129</v>
      </c>
      <c r="B149" s="40" t="s">
        <v>300</v>
      </c>
      <c r="C149" s="40" t="s">
        <v>301</v>
      </c>
      <c r="D149" s="53">
        <f>500*10</f>
        <v>5000</v>
      </c>
      <c r="E149" s="33" t="s">
        <v>61</v>
      </c>
      <c r="F149" s="34" t="s">
        <v>62</v>
      </c>
      <c r="G149" s="34" t="s">
        <v>69</v>
      </c>
      <c r="H149" s="34" t="s">
        <v>65</v>
      </c>
      <c r="I149" s="35" t="s">
        <v>70</v>
      </c>
    </row>
    <row r="150" spans="1:9" ht="25.5" x14ac:dyDescent="0.25">
      <c r="A150" s="38">
        <v>130</v>
      </c>
      <c r="B150" s="40" t="s">
        <v>302</v>
      </c>
      <c r="C150" s="40" t="s">
        <v>299</v>
      </c>
      <c r="D150" s="53">
        <v>5000</v>
      </c>
      <c r="E150" s="33" t="s">
        <v>61</v>
      </c>
      <c r="F150" s="34" t="s">
        <v>62</v>
      </c>
      <c r="G150" s="34" t="s">
        <v>69</v>
      </c>
      <c r="H150" s="34" t="s">
        <v>65</v>
      </c>
      <c r="I150" s="35" t="s">
        <v>70</v>
      </c>
    </row>
    <row r="151" spans="1:9" ht="25.5" x14ac:dyDescent="0.25">
      <c r="A151" s="38">
        <v>131</v>
      </c>
      <c r="B151" s="40" t="s">
        <v>303</v>
      </c>
      <c r="C151" s="40" t="s">
        <v>304</v>
      </c>
      <c r="D151" s="53">
        <f>1080*15</f>
        <v>16200</v>
      </c>
      <c r="E151" s="33" t="s">
        <v>61</v>
      </c>
      <c r="F151" s="34" t="s">
        <v>62</v>
      </c>
      <c r="G151" s="34" t="s">
        <v>69</v>
      </c>
      <c r="H151" s="34" t="s">
        <v>65</v>
      </c>
      <c r="I151" s="35" t="s">
        <v>70</v>
      </c>
    </row>
    <row r="152" spans="1:9" ht="25.5" x14ac:dyDescent="0.25">
      <c r="A152" s="38">
        <v>132</v>
      </c>
      <c r="B152" s="40" t="s">
        <v>305</v>
      </c>
      <c r="C152" s="40" t="s">
        <v>304</v>
      </c>
      <c r="D152" s="53">
        <f>1600*12</f>
        <v>19200</v>
      </c>
      <c r="E152" s="33" t="s">
        <v>61</v>
      </c>
      <c r="F152" s="34" t="s">
        <v>62</v>
      </c>
      <c r="G152" s="34" t="s">
        <v>69</v>
      </c>
      <c r="H152" s="34" t="s">
        <v>65</v>
      </c>
      <c r="I152" s="35" t="s">
        <v>70</v>
      </c>
    </row>
    <row r="153" spans="1:9" ht="25.5" x14ac:dyDescent="0.25">
      <c r="A153" s="38">
        <v>133</v>
      </c>
      <c r="B153" s="40" t="s">
        <v>306</v>
      </c>
      <c r="C153" s="46" t="s">
        <v>307</v>
      </c>
      <c r="D153" s="53">
        <v>1000</v>
      </c>
      <c r="E153" s="33" t="s">
        <v>61</v>
      </c>
      <c r="F153" s="34" t="s">
        <v>62</v>
      </c>
      <c r="G153" s="34" t="s">
        <v>69</v>
      </c>
      <c r="H153" s="34" t="s">
        <v>65</v>
      </c>
      <c r="I153" s="35" t="s">
        <v>70</v>
      </c>
    </row>
    <row r="154" spans="1:9" ht="25.5" x14ac:dyDescent="0.25">
      <c r="A154" s="38">
        <v>134</v>
      </c>
      <c r="B154" s="40" t="s">
        <v>308</v>
      </c>
      <c r="C154" s="40" t="s">
        <v>309</v>
      </c>
      <c r="D154" s="53">
        <v>18000</v>
      </c>
      <c r="E154" s="33" t="s">
        <v>61</v>
      </c>
      <c r="F154" s="34" t="s">
        <v>62</v>
      </c>
      <c r="G154" s="34" t="s">
        <v>69</v>
      </c>
      <c r="H154" s="34" t="s">
        <v>65</v>
      </c>
      <c r="I154" s="35" t="s">
        <v>70</v>
      </c>
    </row>
    <row r="155" spans="1:9" ht="25.5" x14ac:dyDescent="0.25">
      <c r="A155" s="38">
        <v>135</v>
      </c>
      <c r="B155" s="40" t="s">
        <v>311</v>
      </c>
      <c r="C155" s="40" t="s">
        <v>312</v>
      </c>
      <c r="D155" s="53">
        <f>1100*12</f>
        <v>13200</v>
      </c>
      <c r="E155" s="33" t="s">
        <v>61</v>
      </c>
      <c r="F155" s="34" t="s">
        <v>62</v>
      </c>
      <c r="G155" s="34" t="s">
        <v>69</v>
      </c>
      <c r="H155" s="34" t="s">
        <v>65</v>
      </c>
      <c r="I155" s="35" t="s">
        <v>70</v>
      </c>
    </row>
    <row r="156" spans="1:9" ht="25.5" x14ac:dyDescent="0.25">
      <c r="A156" s="38">
        <v>136</v>
      </c>
      <c r="B156" s="40" t="s">
        <v>313</v>
      </c>
      <c r="C156" s="40" t="s">
        <v>314</v>
      </c>
      <c r="D156" s="53">
        <f>25*46*12</f>
        <v>13800</v>
      </c>
      <c r="E156" s="33" t="s">
        <v>61</v>
      </c>
      <c r="F156" s="34" t="s">
        <v>62</v>
      </c>
      <c r="G156" s="34" t="s">
        <v>69</v>
      </c>
      <c r="H156" s="34" t="s">
        <v>65</v>
      </c>
      <c r="I156" s="35" t="s">
        <v>70</v>
      </c>
    </row>
    <row r="157" spans="1:9" ht="25.5" x14ac:dyDescent="0.25">
      <c r="A157" s="38">
        <v>137</v>
      </c>
      <c r="B157" s="40" t="s">
        <v>315</v>
      </c>
      <c r="C157" s="40" t="s">
        <v>316</v>
      </c>
      <c r="D157" s="53">
        <v>9600</v>
      </c>
      <c r="E157" s="33" t="s">
        <v>61</v>
      </c>
      <c r="F157" s="34" t="s">
        <v>62</v>
      </c>
      <c r="G157" s="34" t="s">
        <v>69</v>
      </c>
      <c r="H157" s="34" t="s">
        <v>65</v>
      </c>
      <c r="I157" s="35" t="s">
        <v>70</v>
      </c>
    </row>
    <row r="158" spans="1:9" ht="25.5" x14ac:dyDescent="0.25">
      <c r="A158" s="38">
        <v>138</v>
      </c>
      <c r="B158" s="40" t="s">
        <v>317</v>
      </c>
      <c r="C158" s="40" t="s">
        <v>318</v>
      </c>
      <c r="D158" s="53">
        <v>1800</v>
      </c>
      <c r="E158" s="33" t="s">
        <v>61</v>
      </c>
      <c r="F158" s="34" t="s">
        <v>62</v>
      </c>
      <c r="G158" s="34" t="s">
        <v>69</v>
      </c>
      <c r="H158" s="34" t="s">
        <v>65</v>
      </c>
      <c r="I158" s="35" t="s">
        <v>70</v>
      </c>
    </row>
    <row r="159" spans="1:9" ht="25.5" x14ac:dyDescent="0.25">
      <c r="A159" s="38">
        <v>139</v>
      </c>
      <c r="B159" s="40" t="s">
        <v>319</v>
      </c>
      <c r="C159" s="40" t="s">
        <v>320</v>
      </c>
      <c r="D159" s="53">
        <v>60000</v>
      </c>
      <c r="E159" s="33" t="s">
        <v>61</v>
      </c>
      <c r="F159" s="34" t="s">
        <v>62</v>
      </c>
      <c r="G159" s="34" t="s">
        <v>69</v>
      </c>
      <c r="H159" s="34" t="s">
        <v>65</v>
      </c>
      <c r="I159" s="35" t="s">
        <v>70</v>
      </c>
    </row>
    <row r="160" spans="1:9" ht="25.5" x14ac:dyDescent="0.25">
      <c r="A160" s="38">
        <v>140</v>
      </c>
      <c r="B160" s="40" t="s">
        <v>321</v>
      </c>
      <c r="C160" s="40" t="s">
        <v>322</v>
      </c>
      <c r="D160" s="53">
        <v>2000</v>
      </c>
      <c r="E160" s="33" t="s">
        <v>61</v>
      </c>
      <c r="F160" s="34" t="s">
        <v>62</v>
      </c>
      <c r="G160" s="34" t="s">
        <v>69</v>
      </c>
      <c r="H160" s="34" t="s">
        <v>65</v>
      </c>
      <c r="I160" s="35" t="s">
        <v>70</v>
      </c>
    </row>
    <row r="161" spans="1:12" ht="25.5" x14ac:dyDescent="0.25">
      <c r="A161" s="38">
        <v>141</v>
      </c>
      <c r="B161" s="40" t="s">
        <v>323</v>
      </c>
      <c r="C161" s="40" t="s">
        <v>324</v>
      </c>
      <c r="D161" s="53">
        <v>200</v>
      </c>
      <c r="E161" s="33" t="s">
        <v>61</v>
      </c>
      <c r="F161" s="34" t="s">
        <v>62</v>
      </c>
      <c r="G161" s="34" t="s">
        <v>69</v>
      </c>
      <c r="H161" s="34" t="s">
        <v>65</v>
      </c>
      <c r="I161" s="35" t="s">
        <v>70</v>
      </c>
    </row>
    <row r="162" spans="1:12" ht="25.5" x14ac:dyDescent="0.25">
      <c r="A162" s="38">
        <v>142</v>
      </c>
      <c r="B162" s="40" t="s">
        <v>325</v>
      </c>
      <c r="C162" s="40" t="s">
        <v>324</v>
      </c>
      <c r="D162" s="53">
        <v>200</v>
      </c>
      <c r="E162" s="33" t="s">
        <v>61</v>
      </c>
      <c r="F162" s="34" t="s">
        <v>62</v>
      </c>
      <c r="G162" s="34" t="s">
        <v>69</v>
      </c>
      <c r="H162" s="34" t="s">
        <v>65</v>
      </c>
      <c r="I162" s="35" t="s">
        <v>70</v>
      </c>
    </row>
    <row r="163" spans="1:12" ht="25.5" x14ac:dyDescent="0.25">
      <c r="A163" s="38">
        <v>143</v>
      </c>
      <c r="B163" s="40" t="s">
        <v>326</v>
      </c>
      <c r="C163" s="40" t="s">
        <v>327</v>
      </c>
      <c r="D163" s="53">
        <v>1500</v>
      </c>
      <c r="E163" s="33" t="s">
        <v>61</v>
      </c>
      <c r="F163" s="34" t="s">
        <v>62</v>
      </c>
      <c r="G163" s="34" t="s">
        <v>69</v>
      </c>
      <c r="H163" s="34" t="s">
        <v>65</v>
      </c>
      <c r="I163" s="35" t="s">
        <v>70</v>
      </c>
    </row>
    <row r="164" spans="1:12" ht="25.5" x14ac:dyDescent="0.25">
      <c r="A164" s="38">
        <v>144</v>
      </c>
      <c r="B164" s="40" t="s">
        <v>328</v>
      </c>
      <c r="C164" s="40" t="s">
        <v>299</v>
      </c>
      <c r="D164" s="53">
        <v>5000</v>
      </c>
      <c r="E164" s="33" t="s">
        <v>61</v>
      </c>
      <c r="F164" s="34" t="s">
        <v>62</v>
      </c>
      <c r="G164" s="34" t="s">
        <v>69</v>
      </c>
      <c r="H164" s="34" t="s">
        <v>65</v>
      </c>
      <c r="I164" s="35" t="s">
        <v>70</v>
      </c>
    </row>
    <row r="165" spans="1:12" ht="25.5" x14ac:dyDescent="0.25">
      <c r="A165" s="38">
        <v>145</v>
      </c>
      <c r="B165" s="40" t="s">
        <v>329</v>
      </c>
      <c r="C165" s="40" t="s">
        <v>299</v>
      </c>
      <c r="D165" s="53">
        <v>5000</v>
      </c>
      <c r="E165" s="33" t="s">
        <v>61</v>
      </c>
      <c r="F165" s="34" t="s">
        <v>62</v>
      </c>
      <c r="G165" s="34" t="s">
        <v>69</v>
      </c>
      <c r="H165" s="34" t="s">
        <v>65</v>
      </c>
      <c r="I165" s="35" t="s">
        <v>70</v>
      </c>
    </row>
    <row r="166" spans="1:12" ht="25.5" x14ac:dyDescent="0.25">
      <c r="A166" s="38">
        <v>146</v>
      </c>
      <c r="B166" s="40" t="s">
        <v>330</v>
      </c>
      <c r="C166" s="40" t="s">
        <v>299</v>
      </c>
      <c r="D166" s="53">
        <v>5000</v>
      </c>
      <c r="E166" s="33" t="s">
        <v>61</v>
      </c>
      <c r="F166" s="34" t="s">
        <v>62</v>
      </c>
      <c r="G166" s="34" t="s">
        <v>69</v>
      </c>
      <c r="H166" s="34" t="s">
        <v>65</v>
      </c>
      <c r="I166" s="35" t="s">
        <v>70</v>
      </c>
    </row>
    <row r="167" spans="1:12" ht="25.5" x14ac:dyDescent="0.25">
      <c r="A167" s="38">
        <v>147</v>
      </c>
      <c r="B167" s="40" t="s">
        <v>331</v>
      </c>
      <c r="C167" s="40" t="s">
        <v>332</v>
      </c>
      <c r="D167" s="53">
        <v>30000</v>
      </c>
      <c r="E167" s="33" t="s">
        <v>61</v>
      </c>
      <c r="F167" s="34" t="s">
        <v>62</v>
      </c>
      <c r="G167" s="34" t="s">
        <v>69</v>
      </c>
      <c r="H167" s="34" t="s">
        <v>65</v>
      </c>
      <c r="I167" s="35" t="s">
        <v>70</v>
      </c>
    </row>
    <row r="168" spans="1:12" ht="25.5" x14ac:dyDescent="0.25">
      <c r="A168" s="38">
        <v>148</v>
      </c>
      <c r="B168" s="40" t="s">
        <v>333</v>
      </c>
      <c r="C168" s="40" t="s">
        <v>334</v>
      </c>
      <c r="D168" s="53">
        <v>5000</v>
      </c>
      <c r="E168" s="33" t="s">
        <v>61</v>
      </c>
      <c r="F168" s="34" t="s">
        <v>62</v>
      </c>
      <c r="G168" s="34" t="s">
        <v>69</v>
      </c>
      <c r="H168" s="34" t="s">
        <v>65</v>
      </c>
      <c r="I168" s="35" t="s">
        <v>70</v>
      </c>
    </row>
    <row r="169" spans="1:12" ht="25.5" x14ac:dyDescent="0.25">
      <c r="A169" s="38">
        <v>149</v>
      </c>
      <c r="B169" s="40" t="s">
        <v>335</v>
      </c>
      <c r="C169" s="40" t="s">
        <v>336</v>
      </c>
      <c r="D169" s="53">
        <v>1000</v>
      </c>
      <c r="E169" s="33" t="s">
        <v>61</v>
      </c>
      <c r="F169" s="34" t="s">
        <v>62</v>
      </c>
      <c r="G169" s="34" t="s">
        <v>69</v>
      </c>
      <c r="H169" s="34" t="s">
        <v>65</v>
      </c>
      <c r="I169" s="35" t="s">
        <v>70</v>
      </c>
    </row>
    <row r="170" spans="1:12" ht="25.5" x14ac:dyDescent="0.25">
      <c r="A170" s="38">
        <v>150</v>
      </c>
      <c r="B170" s="40" t="s">
        <v>337</v>
      </c>
      <c r="C170" s="40" t="s">
        <v>338</v>
      </c>
      <c r="D170" s="53">
        <v>1000</v>
      </c>
      <c r="E170" s="33" t="s">
        <v>61</v>
      </c>
      <c r="F170" s="34" t="s">
        <v>62</v>
      </c>
      <c r="G170" s="34" t="s">
        <v>69</v>
      </c>
      <c r="H170" s="34" t="s">
        <v>65</v>
      </c>
      <c r="I170" s="35" t="s">
        <v>70</v>
      </c>
    </row>
    <row r="171" spans="1:12" ht="25.5" x14ac:dyDescent="0.25">
      <c r="A171" s="38">
        <v>151</v>
      </c>
      <c r="B171" s="40" t="s">
        <v>339</v>
      </c>
      <c r="C171" s="40" t="s">
        <v>340</v>
      </c>
      <c r="D171" s="53">
        <v>1500</v>
      </c>
      <c r="E171" s="33" t="s">
        <v>61</v>
      </c>
      <c r="F171" s="34" t="s">
        <v>62</v>
      </c>
      <c r="G171" s="34" t="s">
        <v>69</v>
      </c>
      <c r="H171" s="34" t="s">
        <v>65</v>
      </c>
      <c r="I171" s="35" t="s">
        <v>70</v>
      </c>
    </row>
    <row r="172" spans="1:12" s="36" customFormat="1" ht="18.75" x14ac:dyDescent="0.3">
      <c r="A172" s="105" t="s">
        <v>435</v>
      </c>
      <c r="B172" s="106"/>
      <c r="C172" s="107"/>
      <c r="D172" s="60">
        <f>SUM(D144:D171)*1.19</f>
        <v>428400</v>
      </c>
      <c r="E172" s="33"/>
      <c r="F172" s="34"/>
      <c r="G172" s="34"/>
      <c r="H172" s="34"/>
      <c r="I172" s="35"/>
      <c r="K172" s="59"/>
      <c r="L172" s="59"/>
    </row>
    <row r="173" spans="1:12" ht="25.5" x14ac:dyDescent="0.25">
      <c r="A173" s="38">
        <v>152</v>
      </c>
      <c r="B173" s="40" t="s">
        <v>343</v>
      </c>
      <c r="C173" s="44" t="s">
        <v>344</v>
      </c>
      <c r="D173" s="53">
        <v>5000</v>
      </c>
      <c r="E173" s="33" t="s">
        <v>61</v>
      </c>
      <c r="F173" s="34" t="s">
        <v>62</v>
      </c>
      <c r="G173" s="34" t="s">
        <v>69</v>
      </c>
      <c r="H173" s="34" t="s">
        <v>355</v>
      </c>
      <c r="I173" s="35" t="s">
        <v>70</v>
      </c>
    </row>
    <row r="174" spans="1:12" ht="25.5" x14ac:dyDescent="0.25">
      <c r="A174" s="38">
        <v>153</v>
      </c>
      <c r="B174" s="40" t="s">
        <v>345</v>
      </c>
      <c r="C174" s="44" t="s">
        <v>346</v>
      </c>
      <c r="D174" s="53">
        <v>500</v>
      </c>
      <c r="E174" s="33" t="s">
        <v>61</v>
      </c>
      <c r="F174" s="34" t="s">
        <v>62</v>
      </c>
      <c r="G174" s="34" t="s">
        <v>69</v>
      </c>
      <c r="H174" s="34" t="s">
        <v>355</v>
      </c>
      <c r="I174" s="35" t="s">
        <v>70</v>
      </c>
    </row>
    <row r="175" spans="1:12" ht="25.5" x14ac:dyDescent="0.25">
      <c r="A175" s="38">
        <v>154</v>
      </c>
      <c r="B175" s="40" t="s">
        <v>347</v>
      </c>
      <c r="C175" s="44" t="s">
        <v>348</v>
      </c>
      <c r="D175" s="53">
        <v>5000</v>
      </c>
      <c r="E175" s="33" t="s">
        <v>61</v>
      </c>
      <c r="F175" s="34" t="s">
        <v>62</v>
      </c>
      <c r="G175" s="34" t="s">
        <v>69</v>
      </c>
      <c r="H175" s="34" t="s">
        <v>355</v>
      </c>
      <c r="I175" s="35" t="s">
        <v>70</v>
      </c>
    </row>
    <row r="176" spans="1:12" ht="25.5" x14ac:dyDescent="0.25">
      <c r="A176" s="38">
        <v>155</v>
      </c>
      <c r="B176" s="40" t="s">
        <v>350</v>
      </c>
      <c r="C176" s="42" t="s">
        <v>351</v>
      </c>
      <c r="D176" s="53">
        <v>5000</v>
      </c>
      <c r="E176" s="33" t="s">
        <v>61</v>
      </c>
      <c r="F176" s="34" t="s">
        <v>62</v>
      </c>
      <c r="G176" s="34" t="s">
        <v>69</v>
      </c>
      <c r="H176" s="34" t="s">
        <v>355</v>
      </c>
      <c r="I176" s="35" t="s">
        <v>70</v>
      </c>
    </row>
    <row r="177" spans="1:12" ht="25.5" x14ac:dyDescent="0.25">
      <c r="A177" s="38">
        <v>156</v>
      </c>
      <c r="B177" s="40" t="s">
        <v>352</v>
      </c>
      <c r="C177" s="42" t="s">
        <v>353</v>
      </c>
      <c r="D177" s="53">
        <v>600</v>
      </c>
      <c r="E177" s="33" t="s">
        <v>61</v>
      </c>
      <c r="F177" s="34" t="s">
        <v>62</v>
      </c>
      <c r="G177" s="34" t="s">
        <v>69</v>
      </c>
      <c r="H177" s="34" t="s">
        <v>355</v>
      </c>
      <c r="I177" s="35" t="s">
        <v>70</v>
      </c>
    </row>
    <row r="178" spans="1:12" ht="25.5" x14ac:dyDescent="0.25">
      <c r="A178" s="38">
        <v>157</v>
      </c>
      <c r="B178" s="40" t="s">
        <v>354</v>
      </c>
      <c r="C178" s="54" t="s">
        <v>349</v>
      </c>
      <c r="D178" s="53">
        <v>10000</v>
      </c>
      <c r="E178" s="33" t="s">
        <v>61</v>
      </c>
      <c r="F178" s="34" t="s">
        <v>62</v>
      </c>
      <c r="G178" s="34" t="s">
        <v>69</v>
      </c>
      <c r="H178" s="34" t="s">
        <v>355</v>
      </c>
      <c r="I178" s="35" t="s">
        <v>70</v>
      </c>
    </row>
    <row r="179" spans="1:12" s="36" customFormat="1" ht="18.75" x14ac:dyDescent="0.3">
      <c r="A179" s="105" t="s">
        <v>436</v>
      </c>
      <c r="B179" s="106"/>
      <c r="C179" s="107"/>
      <c r="D179" s="60">
        <f>SUM(D173:D178)*1.19</f>
        <v>31059</v>
      </c>
      <c r="E179" s="33"/>
      <c r="F179" s="34"/>
      <c r="G179" s="34"/>
      <c r="H179" s="34"/>
      <c r="I179" s="35"/>
      <c r="K179" s="59"/>
      <c r="L179" s="59"/>
    </row>
    <row r="180" spans="1:12" ht="25.5" x14ac:dyDescent="0.25">
      <c r="A180" s="38">
        <v>158</v>
      </c>
      <c r="B180" s="40" t="s">
        <v>356</v>
      </c>
      <c r="C180" s="40" t="s">
        <v>357</v>
      </c>
      <c r="D180" s="53">
        <v>60000</v>
      </c>
      <c r="E180" s="33" t="s">
        <v>61</v>
      </c>
      <c r="F180" s="34" t="s">
        <v>62</v>
      </c>
      <c r="G180" s="34" t="s">
        <v>69</v>
      </c>
      <c r="H180" s="34" t="s">
        <v>355</v>
      </c>
      <c r="I180" s="35" t="s">
        <v>70</v>
      </c>
    </row>
    <row r="181" spans="1:12" s="36" customFormat="1" ht="18.75" x14ac:dyDescent="0.3">
      <c r="A181" s="105" t="s">
        <v>437</v>
      </c>
      <c r="B181" s="106"/>
      <c r="C181" s="107"/>
      <c r="D181" s="60">
        <f>SUM(D180)*1.19</f>
        <v>71400</v>
      </c>
      <c r="E181" s="33"/>
      <c r="F181" s="34"/>
      <c r="G181" s="34"/>
      <c r="H181" s="34"/>
      <c r="I181" s="35"/>
      <c r="K181" s="59"/>
      <c r="L181" s="59"/>
    </row>
    <row r="182" spans="1:12" ht="51" x14ac:dyDescent="0.25">
      <c r="A182" s="38">
        <v>159</v>
      </c>
      <c r="B182" s="40" t="s">
        <v>358</v>
      </c>
      <c r="C182" s="40" t="s">
        <v>359</v>
      </c>
      <c r="D182" s="53">
        <f>90000/1.19</f>
        <v>75630.252100840342</v>
      </c>
      <c r="E182" s="33" t="s">
        <v>61</v>
      </c>
      <c r="F182" s="34" t="s">
        <v>62</v>
      </c>
      <c r="G182" s="34" t="s">
        <v>69</v>
      </c>
      <c r="H182" s="34" t="s">
        <v>355</v>
      </c>
      <c r="I182" s="35" t="s">
        <v>70</v>
      </c>
    </row>
    <row r="183" spans="1:12" s="36" customFormat="1" ht="18.75" x14ac:dyDescent="0.3">
      <c r="A183" s="105" t="s">
        <v>438</v>
      </c>
      <c r="B183" s="106"/>
      <c r="C183" s="107"/>
      <c r="D183" s="60">
        <f>SUM(D182)*1.19</f>
        <v>90000</v>
      </c>
      <c r="E183" s="33"/>
      <c r="F183" s="34"/>
      <c r="G183" s="34"/>
      <c r="H183" s="34"/>
      <c r="I183" s="35"/>
      <c r="K183" s="59"/>
      <c r="L183" s="59"/>
    </row>
    <row r="184" spans="1:12" ht="63.75" x14ac:dyDescent="0.25">
      <c r="A184" s="38">
        <v>160</v>
      </c>
      <c r="B184" s="40" t="s">
        <v>360</v>
      </c>
      <c r="C184" s="40" t="s">
        <v>361</v>
      </c>
      <c r="D184" s="53">
        <f>105000/1.19</f>
        <v>88235.294117647063</v>
      </c>
      <c r="E184" s="33" t="s">
        <v>61</v>
      </c>
      <c r="F184" s="34" t="s">
        <v>62</v>
      </c>
      <c r="G184" s="34" t="s">
        <v>69</v>
      </c>
      <c r="H184" s="34" t="s">
        <v>355</v>
      </c>
      <c r="I184" s="35" t="s">
        <v>70</v>
      </c>
    </row>
    <row r="185" spans="1:12" s="36" customFormat="1" ht="18.75" x14ac:dyDescent="0.3">
      <c r="A185" s="105" t="s">
        <v>439</v>
      </c>
      <c r="B185" s="106"/>
      <c r="C185" s="107"/>
      <c r="D185" s="60">
        <f>SUM(D184)*1.19</f>
        <v>105000</v>
      </c>
      <c r="E185" s="33"/>
      <c r="F185" s="34"/>
      <c r="G185" s="34"/>
      <c r="H185" s="34"/>
      <c r="I185" s="35"/>
      <c r="K185" s="59"/>
      <c r="L185" s="59"/>
    </row>
    <row r="186" spans="1:12" ht="25.5" x14ac:dyDescent="0.25">
      <c r="A186" s="38">
        <v>161</v>
      </c>
      <c r="B186" s="40" t="s">
        <v>362</v>
      </c>
      <c r="C186" s="42" t="s">
        <v>363</v>
      </c>
      <c r="D186" s="53">
        <f>125566.386+8403.36+9000</f>
        <v>142969.74599999998</v>
      </c>
      <c r="E186" s="33" t="s">
        <v>61</v>
      </c>
      <c r="F186" s="34" t="s">
        <v>62</v>
      </c>
      <c r="G186" s="34" t="s">
        <v>69</v>
      </c>
      <c r="H186" s="34" t="s">
        <v>355</v>
      </c>
      <c r="I186" s="35" t="s">
        <v>70</v>
      </c>
    </row>
    <row r="187" spans="1:12" ht="25.5" x14ac:dyDescent="0.25">
      <c r="A187" s="38">
        <v>162</v>
      </c>
      <c r="B187" s="40" t="s">
        <v>478</v>
      </c>
      <c r="C187" s="42" t="s">
        <v>479</v>
      </c>
      <c r="D187" s="53">
        <f>20000+989.226</f>
        <v>20989.225999999999</v>
      </c>
      <c r="E187" s="33" t="s">
        <v>61</v>
      </c>
      <c r="F187" s="34" t="s">
        <v>62</v>
      </c>
      <c r="G187" s="34" t="s">
        <v>69</v>
      </c>
      <c r="H187" s="34" t="s">
        <v>355</v>
      </c>
      <c r="I187" s="35" t="s">
        <v>70</v>
      </c>
    </row>
    <row r="188" spans="1:12" ht="25.5" x14ac:dyDescent="0.25">
      <c r="A188" s="38">
        <v>163</v>
      </c>
      <c r="B188" s="40" t="s">
        <v>480</v>
      </c>
      <c r="C188" s="42" t="s">
        <v>481</v>
      </c>
      <c r="D188" s="53">
        <v>20000</v>
      </c>
      <c r="E188" s="33" t="s">
        <v>61</v>
      </c>
      <c r="F188" s="34" t="s">
        <v>62</v>
      </c>
      <c r="G188" s="34" t="s">
        <v>69</v>
      </c>
      <c r="H188" s="34" t="s">
        <v>355</v>
      </c>
      <c r="I188" s="35" t="s">
        <v>70</v>
      </c>
    </row>
    <row r="189" spans="1:12" ht="25.5" x14ac:dyDescent="0.25">
      <c r="A189" s="38">
        <v>164</v>
      </c>
      <c r="B189" s="40" t="s">
        <v>482</v>
      </c>
      <c r="C189" s="42" t="s">
        <v>483</v>
      </c>
      <c r="D189" s="53">
        <f>19806+10000</f>
        <v>29806</v>
      </c>
      <c r="E189" s="33" t="s">
        <v>61</v>
      </c>
      <c r="F189" s="34" t="s">
        <v>62</v>
      </c>
      <c r="G189" s="34" t="s">
        <v>69</v>
      </c>
      <c r="H189" s="34" t="s">
        <v>355</v>
      </c>
      <c r="I189" s="35" t="s">
        <v>70</v>
      </c>
    </row>
    <row r="190" spans="1:12" ht="25.5" x14ac:dyDescent="0.25">
      <c r="A190" s="38">
        <v>165</v>
      </c>
      <c r="B190" s="98" t="s">
        <v>484</v>
      </c>
      <c r="C190" s="42" t="s">
        <v>485</v>
      </c>
      <c r="D190" s="53">
        <v>15000</v>
      </c>
      <c r="E190" s="33" t="s">
        <v>61</v>
      </c>
      <c r="F190" s="34" t="s">
        <v>62</v>
      </c>
      <c r="G190" s="34" t="s">
        <v>69</v>
      </c>
      <c r="H190" s="34" t="s">
        <v>355</v>
      </c>
      <c r="I190" s="35" t="s">
        <v>70</v>
      </c>
    </row>
    <row r="191" spans="1:12" ht="25.5" x14ac:dyDescent="0.25">
      <c r="A191" s="38">
        <v>166</v>
      </c>
      <c r="B191" s="99" t="s">
        <v>486</v>
      </c>
      <c r="C191" s="42" t="s">
        <v>487</v>
      </c>
      <c r="D191" s="53">
        <v>6600</v>
      </c>
      <c r="E191" s="33" t="s">
        <v>61</v>
      </c>
      <c r="F191" s="34" t="s">
        <v>62</v>
      </c>
      <c r="G191" s="34" t="s">
        <v>69</v>
      </c>
      <c r="H191" s="34" t="s">
        <v>355</v>
      </c>
      <c r="I191" s="35" t="s">
        <v>70</v>
      </c>
    </row>
    <row r="192" spans="1:12" ht="25.5" x14ac:dyDescent="0.25">
      <c r="A192" s="38">
        <v>167</v>
      </c>
      <c r="B192" s="99" t="s">
        <v>488</v>
      </c>
      <c r="C192" s="42" t="s">
        <v>487</v>
      </c>
      <c r="D192" s="53">
        <f>7750+2250</f>
        <v>10000</v>
      </c>
      <c r="E192" s="33" t="s">
        <v>61</v>
      </c>
      <c r="F192" s="34" t="s">
        <v>62</v>
      </c>
      <c r="G192" s="34" t="s">
        <v>69</v>
      </c>
      <c r="H192" s="34" t="s">
        <v>355</v>
      </c>
      <c r="I192" s="35" t="s">
        <v>70</v>
      </c>
    </row>
    <row r="193" spans="1:12" ht="25.5" x14ac:dyDescent="0.25">
      <c r="A193" s="38">
        <v>168</v>
      </c>
      <c r="B193" s="99" t="s">
        <v>489</v>
      </c>
      <c r="C193" s="42" t="s">
        <v>490</v>
      </c>
      <c r="D193" s="53">
        <f>41800+10000+41800</f>
        <v>93600</v>
      </c>
      <c r="E193" s="33" t="s">
        <v>61</v>
      </c>
      <c r="F193" s="34" t="s">
        <v>62</v>
      </c>
      <c r="G193" s="34" t="s">
        <v>69</v>
      </c>
      <c r="H193" s="34" t="s">
        <v>355</v>
      </c>
      <c r="I193" s="35" t="s">
        <v>70</v>
      </c>
    </row>
    <row r="194" spans="1:12" ht="25.5" x14ac:dyDescent="0.25">
      <c r="A194" s="38">
        <v>169</v>
      </c>
      <c r="B194" s="99" t="s">
        <v>491</v>
      </c>
      <c r="C194" s="42" t="s">
        <v>492</v>
      </c>
      <c r="D194" s="53">
        <v>2100</v>
      </c>
      <c r="E194" s="33" t="s">
        <v>61</v>
      </c>
      <c r="F194" s="34" t="s">
        <v>62</v>
      </c>
      <c r="G194" s="34" t="s">
        <v>69</v>
      </c>
      <c r="H194" s="34" t="s">
        <v>355</v>
      </c>
      <c r="I194" s="35" t="s">
        <v>70</v>
      </c>
    </row>
    <row r="195" spans="1:12" ht="25.5" x14ac:dyDescent="0.25">
      <c r="A195" s="38">
        <v>170</v>
      </c>
      <c r="B195" s="99" t="s">
        <v>493</v>
      </c>
      <c r="C195" s="42" t="s">
        <v>492</v>
      </c>
      <c r="D195" s="53">
        <v>1950</v>
      </c>
      <c r="E195" s="33" t="s">
        <v>61</v>
      </c>
      <c r="F195" s="34" t="s">
        <v>62</v>
      </c>
      <c r="G195" s="34" t="s">
        <v>69</v>
      </c>
      <c r="H195" s="34" t="s">
        <v>355</v>
      </c>
      <c r="I195" s="35" t="s">
        <v>70</v>
      </c>
    </row>
    <row r="196" spans="1:12" ht="25.5" x14ac:dyDescent="0.25">
      <c r="A196" s="38">
        <v>171</v>
      </c>
      <c r="B196" s="99" t="s">
        <v>494</v>
      </c>
      <c r="C196" s="42" t="s">
        <v>492</v>
      </c>
      <c r="D196" s="53">
        <f>3800+20000</f>
        <v>23800</v>
      </c>
      <c r="E196" s="33" t="s">
        <v>61</v>
      </c>
      <c r="F196" s="34" t="s">
        <v>62</v>
      </c>
      <c r="G196" s="34" t="s">
        <v>69</v>
      </c>
      <c r="H196" s="34" t="s">
        <v>355</v>
      </c>
      <c r="I196" s="35" t="s">
        <v>70</v>
      </c>
    </row>
    <row r="197" spans="1:12" ht="25.5" x14ac:dyDescent="0.25">
      <c r="A197" s="38">
        <v>172</v>
      </c>
      <c r="B197" s="99" t="s">
        <v>495</v>
      </c>
      <c r="C197" s="42" t="s">
        <v>492</v>
      </c>
      <c r="D197" s="53">
        <f>34550+10000</f>
        <v>44550</v>
      </c>
      <c r="E197" s="33" t="s">
        <v>61</v>
      </c>
      <c r="F197" s="34" t="s">
        <v>62</v>
      </c>
      <c r="G197" s="34" t="s">
        <v>69</v>
      </c>
      <c r="H197" s="34" t="s">
        <v>355</v>
      </c>
      <c r="I197" s="35" t="s">
        <v>70</v>
      </c>
    </row>
    <row r="198" spans="1:12" ht="25.5" x14ac:dyDescent="0.25">
      <c r="A198" s="38">
        <v>173</v>
      </c>
      <c r="B198" s="40" t="s">
        <v>364</v>
      </c>
      <c r="C198" s="42" t="s">
        <v>365</v>
      </c>
      <c r="D198" s="53">
        <f>9000+10000</f>
        <v>19000</v>
      </c>
      <c r="E198" s="33" t="s">
        <v>61</v>
      </c>
      <c r="F198" s="34" t="s">
        <v>62</v>
      </c>
      <c r="G198" s="34" t="s">
        <v>69</v>
      </c>
      <c r="H198" s="34" t="s">
        <v>355</v>
      </c>
      <c r="I198" s="35" t="s">
        <v>70</v>
      </c>
    </row>
    <row r="199" spans="1:12" ht="25.5" x14ac:dyDescent="0.25">
      <c r="A199" s="38">
        <v>174</v>
      </c>
      <c r="B199" s="40" t="s">
        <v>496</v>
      </c>
      <c r="C199" s="42" t="s">
        <v>497</v>
      </c>
      <c r="D199" s="53">
        <v>7130</v>
      </c>
      <c r="E199" s="33" t="s">
        <v>61</v>
      </c>
      <c r="F199" s="34" t="s">
        <v>62</v>
      </c>
      <c r="G199" s="34" t="s">
        <v>69</v>
      </c>
      <c r="H199" s="34" t="s">
        <v>355</v>
      </c>
      <c r="I199" s="35" t="s">
        <v>70</v>
      </c>
    </row>
    <row r="200" spans="1:12" ht="25.5" x14ac:dyDescent="0.25">
      <c r="A200" s="38">
        <v>175</v>
      </c>
      <c r="B200" s="40" t="s">
        <v>498</v>
      </c>
      <c r="C200" s="42" t="s">
        <v>499</v>
      </c>
      <c r="D200" s="53">
        <f>12092.28+3597.6218</f>
        <v>15689.9018</v>
      </c>
      <c r="E200" s="33" t="s">
        <v>61</v>
      </c>
      <c r="F200" s="34" t="s">
        <v>62</v>
      </c>
      <c r="G200" s="34" t="s">
        <v>69</v>
      </c>
      <c r="H200" s="34" t="s">
        <v>355</v>
      </c>
      <c r="I200" s="35" t="s">
        <v>70</v>
      </c>
    </row>
    <row r="201" spans="1:12" ht="25.5" x14ac:dyDescent="0.25">
      <c r="A201" s="38">
        <v>176</v>
      </c>
      <c r="B201" s="40" t="s">
        <v>500</v>
      </c>
      <c r="C201" s="42" t="s">
        <v>501</v>
      </c>
      <c r="D201" s="53">
        <v>3000</v>
      </c>
      <c r="E201" s="33" t="s">
        <v>61</v>
      </c>
      <c r="F201" s="34" t="s">
        <v>62</v>
      </c>
      <c r="G201" s="34" t="s">
        <v>69</v>
      </c>
      <c r="H201" s="34" t="s">
        <v>355</v>
      </c>
      <c r="I201" s="35" t="s">
        <v>70</v>
      </c>
    </row>
    <row r="202" spans="1:12" ht="25.5" x14ac:dyDescent="0.25">
      <c r="A202" s="38">
        <v>177</v>
      </c>
      <c r="B202" s="40" t="s">
        <v>502</v>
      </c>
      <c r="C202" s="42" t="s">
        <v>503</v>
      </c>
      <c r="D202" s="53">
        <v>6000</v>
      </c>
      <c r="E202" s="33" t="s">
        <v>61</v>
      </c>
      <c r="F202" s="34" t="s">
        <v>62</v>
      </c>
      <c r="G202" s="34" t="s">
        <v>69</v>
      </c>
      <c r="H202" s="34" t="s">
        <v>355</v>
      </c>
      <c r="I202" s="35" t="s">
        <v>70</v>
      </c>
    </row>
    <row r="203" spans="1:12" s="36" customFormat="1" ht="18.75" x14ac:dyDescent="0.3">
      <c r="A203" s="105" t="s">
        <v>440</v>
      </c>
      <c r="B203" s="106"/>
      <c r="C203" s="107"/>
      <c r="D203" s="60">
        <f>SUM(D186:D202)*1.19</f>
        <v>549999.99982199993</v>
      </c>
      <c r="E203" s="33"/>
      <c r="F203" s="34"/>
      <c r="G203" s="34"/>
      <c r="H203" s="34"/>
      <c r="I203" s="35"/>
      <c r="K203" s="59"/>
      <c r="L203" s="59"/>
    </row>
    <row r="204" spans="1:12" ht="25.5" x14ac:dyDescent="0.25">
      <c r="A204" s="38">
        <v>178</v>
      </c>
      <c r="B204" s="40" t="s">
        <v>366</v>
      </c>
      <c r="C204" s="57"/>
      <c r="D204" s="53">
        <f>6000/1.19</f>
        <v>5042.0168067226896</v>
      </c>
      <c r="E204" s="33" t="s">
        <v>61</v>
      </c>
      <c r="F204" s="34" t="s">
        <v>62</v>
      </c>
      <c r="G204" s="34" t="s">
        <v>69</v>
      </c>
      <c r="H204" s="34"/>
      <c r="I204" s="35" t="s">
        <v>70</v>
      </c>
    </row>
    <row r="205" spans="1:12" s="36" customFormat="1" ht="18.75" x14ac:dyDescent="0.3">
      <c r="A205" s="105" t="s">
        <v>441</v>
      </c>
      <c r="B205" s="106"/>
      <c r="C205" s="107"/>
      <c r="D205" s="60">
        <f>SUM(D204)*1.19</f>
        <v>6000</v>
      </c>
      <c r="E205" s="33"/>
      <c r="F205" s="34"/>
      <c r="G205" s="34"/>
      <c r="H205" s="34"/>
      <c r="I205" s="35"/>
      <c r="K205" s="59"/>
      <c r="L205" s="59"/>
    </row>
    <row r="206" spans="1:12" ht="102" x14ac:dyDescent="0.25">
      <c r="A206" s="38">
        <v>179</v>
      </c>
      <c r="B206" s="44" t="s">
        <v>367</v>
      </c>
      <c r="C206" s="44" t="s">
        <v>368</v>
      </c>
      <c r="D206" s="53">
        <f>60000/1.19</f>
        <v>50420.168067226892</v>
      </c>
      <c r="E206" s="33" t="s">
        <v>61</v>
      </c>
      <c r="F206" s="34" t="s">
        <v>62</v>
      </c>
      <c r="G206" s="34" t="s">
        <v>69</v>
      </c>
      <c r="H206" s="34" t="s">
        <v>355</v>
      </c>
      <c r="I206" s="35" t="s">
        <v>70</v>
      </c>
    </row>
    <row r="207" spans="1:12" s="36" customFormat="1" ht="18.75" x14ac:dyDescent="0.3">
      <c r="A207" s="105" t="s">
        <v>442</v>
      </c>
      <c r="B207" s="106"/>
      <c r="C207" s="107"/>
      <c r="D207" s="60">
        <f>SUM(D206)*1.19</f>
        <v>60000</v>
      </c>
      <c r="E207" s="33"/>
      <c r="F207" s="34"/>
      <c r="G207" s="34"/>
      <c r="H207" s="34"/>
      <c r="I207" s="35"/>
      <c r="K207" s="59"/>
      <c r="L207" s="59"/>
    </row>
    <row r="208" spans="1:12" ht="25.5" x14ac:dyDescent="0.25">
      <c r="A208" s="38">
        <v>180</v>
      </c>
      <c r="B208" s="44" t="s">
        <v>369</v>
      </c>
      <c r="C208" s="57"/>
      <c r="D208" s="53">
        <f>3000/1.19</f>
        <v>2521.0084033613448</v>
      </c>
      <c r="E208" s="33" t="s">
        <v>61</v>
      </c>
      <c r="F208" s="34" t="s">
        <v>62</v>
      </c>
      <c r="G208" s="34" t="s">
        <v>69</v>
      </c>
      <c r="H208" s="34"/>
      <c r="I208" s="35" t="s">
        <v>70</v>
      </c>
    </row>
    <row r="209" spans="1:12" s="36" customFormat="1" ht="18.75" x14ac:dyDescent="0.3">
      <c r="A209" s="105" t="s">
        <v>443</v>
      </c>
      <c r="B209" s="106"/>
      <c r="C209" s="107"/>
      <c r="D209" s="60">
        <f>SUM(D208)*1.19</f>
        <v>3000</v>
      </c>
      <c r="E209" s="33"/>
      <c r="F209" s="34"/>
      <c r="G209" s="34"/>
      <c r="H209" s="34"/>
      <c r="I209" s="35"/>
      <c r="K209" s="59"/>
      <c r="L209" s="59"/>
    </row>
    <row r="210" spans="1:12" ht="25.5" x14ac:dyDescent="0.25">
      <c r="A210" s="38">
        <v>181</v>
      </c>
      <c r="B210" s="40" t="s">
        <v>370</v>
      </c>
      <c r="C210" s="40" t="s">
        <v>371</v>
      </c>
      <c r="D210" s="53">
        <v>76050.42</v>
      </c>
      <c r="E210" s="33" t="s">
        <v>61</v>
      </c>
      <c r="F210" s="34" t="s">
        <v>62</v>
      </c>
      <c r="G210" s="34" t="s">
        <v>69</v>
      </c>
      <c r="H210" s="34" t="s">
        <v>355</v>
      </c>
      <c r="I210" s="35" t="s">
        <v>70</v>
      </c>
    </row>
    <row r="211" spans="1:12" ht="25.5" x14ac:dyDescent="0.25">
      <c r="A211" s="38">
        <v>182</v>
      </c>
      <c r="B211" s="40" t="s">
        <v>372</v>
      </c>
      <c r="C211" s="40" t="s">
        <v>373</v>
      </c>
      <c r="D211" s="53">
        <v>21000</v>
      </c>
      <c r="E211" s="33" t="s">
        <v>61</v>
      </c>
      <c r="F211" s="34" t="s">
        <v>62</v>
      </c>
      <c r="G211" s="34" t="s">
        <v>69</v>
      </c>
      <c r="H211" s="34" t="s">
        <v>355</v>
      </c>
      <c r="I211" s="35" t="s">
        <v>70</v>
      </c>
    </row>
    <row r="212" spans="1:12" ht="25.5" x14ac:dyDescent="0.25">
      <c r="A212" s="38">
        <v>183</v>
      </c>
      <c r="B212" s="40" t="s">
        <v>374</v>
      </c>
      <c r="C212" s="40" t="s">
        <v>375</v>
      </c>
      <c r="D212" s="53">
        <v>15000</v>
      </c>
      <c r="E212" s="33" t="s">
        <v>61</v>
      </c>
      <c r="F212" s="34" t="s">
        <v>62</v>
      </c>
      <c r="G212" s="34" t="s">
        <v>69</v>
      </c>
      <c r="H212" s="34" t="s">
        <v>355</v>
      </c>
      <c r="I212" s="35" t="s">
        <v>70</v>
      </c>
    </row>
    <row r="213" spans="1:12" ht="25.5" x14ac:dyDescent="0.25">
      <c r="A213" s="38">
        <v>184</v>
      </c>
      <c r="B213" s="40" t="s">
        <v>376</v>
      </c>
      <c r="C213" s="40" t="s">
        <v>377</v>
      </c>
      <c r="D213" s="53">
        <v>3000</v>
      </c>
      <c r="E213" s="33" t="s">
        <v>61</v>
      </c>
      <c r="F213" s="34" t="s">
        <v>62</v>
      </c>
      <c r="G213" s="34" t="s">
        <v>69</v>
      </c>
      <c r="H213" s="34" t="s">
        <v>355</v>
      </c>
      <c r="I213" s="35" t="s">
        <v>70</v>
      </c>
    </row>
    <row r="214" spans="1:12" ht="25.5" x14ac:dyDescent="0.25">
      <c r="A214" s="38">
        <v>185</v>
      </c>
      <c r="B214" s="40" t="s">
        <v>378</v>
      </c>
      <c r="C214" s="40" t="s">
        <v>379</v>
      </c>
      <c r="D214" s="53">
        <v>11000</v>
      </c>
      <c r="E214" s="33" t="s">
        <v>61</v>
      </c>
      <c r="F214" s="34" t="s">
        <v>62</v>
      </c>
      <c r="G214" s="34" t="s">
        <v>69</v>
      </c>
      <c r="H214" s="34" t="s">
        <v>355</v>
      </c>
      <c r="I214" s="35" t="s">
        <v>70</v>
      </c>
    </row>
    <row r="215" spans="1:12" s="36" customFormat="1" ht="18.75" x14ac:dyDescent="0.3">
      <c r="A215" s="105" t="s">
        <v>444</v>
      </c>
      <c r="B215" s="106"/>
      <c r="C215" s="107"/>
      <c r="D215" s="60">
        <f>SUM(D210:D214)*1.19</f>
        <v>149999.99979999999</v>
      </c>
      <c r="E215" s="33"/>
      <c r="F215" s="34"/>
      <c r="G215" s="34"/>
      <c r="H215" s="34"/>
      <c r="I215" s="35"/>
      <c r="K215" s="59"/>
      <c r="L215" s="59"/>
    </row>
    <row r="216" spans="1:12" ht="25.5" x14ac:dyDescent="0.25">
      <c r="A216" s="38">
        <v>186</v>
      </c>
      <c r="B216" s="44" t="s">
        <v>380</v>
      </c>
      <c r="C216" s="44"/>
      <c r="D216" s="53">
        <f>25000/1.19</f>
        <v>21008.403361344539</v>
      </c>
      <c r="E216" s="33" t="s">
        <v>61</v>
      </c>
      <c r="F216" s="34" t="s">
        <v>62</v>
      </c>
      <c r="G216" s="34" t="s">
        <v>69</v>
      </c>
      <c r="H216" s="34"/>
      <c r="I216" s="35" t="s">
        <v>70</v>
      </c>
    </row>
    <row r="217" spans="1:12" s="36" customFormat="1" ht="18.75" x14ac:dyDescent="0.3">
      <c r="A217" s="105" t="s">
        <v>445</v>
      </c>
      <c r="B217" s="106"/>
      <c r="C217" s="107"/>
      <c r="D217" s="60">
        <f>SUM(D216)*1.19</f>
        <v>25000</v>
      </c>
      <c r="E217" s="33"/>
      <c r="F217" s="34"/>
      <c r="G217" s="34"/>
      <c r="H217" s="34"/>
      <c r="I217" s="35"/>
      <c r="K217" s="59"/>
      <c r="L217" s="59"/>
    </row>
    <row r="218" spans="1:12" ht="25.5" x14ac:dyDescent="0.25">
      <c r="A218" s="38">
        <v>187</v>
      </c>
      <c r="B218" s="40" t="s">
        <v>381</v>
      </c>
      <c r="C218" s="57"/>
      <c r="D218" s="53">
        <f>50000/1.19</f>
        <v>42016.806722689078</v>
      </c>
      <c r="E218" s="33" t="s">
        <v>61</v>
      </c>
      <c r="F218" s="34" t="s">
        <v>62</v>
      </c>
      <c r="G218" s="34" t="s">
        <v>69</v>
      </c>
      <c r="H218" s="34"/>
      <c r="I218" s="35" t="s">
        <v>70</v>
      </c>
    </row>
    <row r="219" spans="1:12" s="36" customFormat="1" ht="18.75" x14ac:dyDescent="0.3">
      <c r="A219" s="105" t="s">
        <v>446</v>
      </c>
      <c r="B219" s="106"/>
      <c r="C219" s="107"/>
      <c r="D219" s="60">
        <f>SUM(D218)*1.19</f>
        <v>50000</v>
      </c>
      <c r="E219" s="33"/>
      <c r="F219" s="34"/>
      <c r="G219" s="34"/>
      <c r="H219" s="34"/>
      <c r="I219" s="35"/>
      <c r="K219" s="59"/>
      <c r="L219" s="59"/>
    </row>
    <row r="220" spans="1:12" ht="25.5" x14ac:dyDescent="0.25">
      <c r="A220" s="38">
        <v>188</v>
      </c>
      <c r="B220" s="40" t="s">
        <v>382</v>
      </c>
      <c r="C220" s="57"/>
      <c r="D220" s="53">
        <f>50000/1.19</f>
        <v>42016.806722689078</v>
      </c>
      <c r="E220" s="33" t="s">
        <v>61</v>
      </c>
      <c r="F220" s="34" t="s">
        <v>62</v>
      </c>
      <c r="G220" s="34" t="s">
        <v>69</v>
      </c>
      <c r="H220" s="34"/>
      <c r="I220" s="35" t="s">
        <v>70</v>
      </c>
    </row>
    <row r="221" spans="1:12" s="36" customFormat="1" ht="18.75" x14ac:dyDescent="0.3">
      <c r="A221" s="105" t="s">
        <v>447</v>
      </c>
      <c r="B221" s="106"/>
      <c r="C221" s="107"/>
      <c r="D221" s="60">
        <f>SUM(D220)*1.19</f>
        <v>50000</v>
      </c>
      <c r="E221" s="33"/>
      <c r="F221" s="34"/>
      <c r="G221" s="34"/>
      <c r="H221" s="34"/>
      <c r="I221" s="35"/>
      <c r="K221" s="59"/>
      <c r="L221" s="59"/>
    </row>
    <row r="222" spans="1:12" x14ac:dyDescent="0.25">
      <c r="A222" s="126" t="s">
        <v>448</v>
      </c>
      <c r="B222" s="126"/>
      <c r="C222" s="126"/>
      <c r="D222" s="58">
        <f>D221+D219+D217+D215+D209+D207+D205+D203+D185+D183+D181+D179+D172+D143+D78+D74+D52+D39+D34+D19+D17+D15+D11</f>
        <v>6681778.4333520001</v>
      </c>
      <c r="E222" s="127"/>
      <c r="F222" s="127"/>
      <c r="G222" s="127"/>
      <c r="H222" s="127"/>
      <c r="I222" s="127"/>
    </row>
    <row r="224" spans="1:12" s="63" customFormat="1" ht="36.75" customHeight="1" x14ac:dyDescent="0.2">
      <c r="A224" s="61"/>
      <c r="B224" s="61" t="s">
        <v>450</v>
      </c>
      <c r="C224" s="109" t="s">
        <v>451</v>
      </c>
      <c r="D224" s="109"/>
      <c r="E224" s="109"/>
      <c r="G224" s="110" t="s">
        <v>452</v>
      </c>
      <c r="H224" s="110"/>
      <c r="I224" s="65"/>
      <c r="J224" s="65"/>
    </row>
    <row r="225" spans="1:10" s="63" customFormat="1" ht="12.75" x14ac:dyDescent="0.2">
      <c r="A225" s="61"/>
      <c r="B225" s="61" t="s">
        <v>453</v>
      </c>
      <c r="C225" s="109" t="s">
        <v>454</v>
      </c>
      <c r="D225" s="109"/>
      <c r="E225" s="109"/>
      <c r="G225" s="109" t="s">
        <v>455</v>
      </c>
      <c r="H225" s="109"/>
      <c r="I225" s="61"/>
      <c r="J225" s="61"/>
    </row>
  </sheetData>
  <sortState ref="B64:D188">
    <sortCondition ref="B64:B188"/>
  </sortState>
  <mergeCells count="32">
    <mergeCell ref="A74:C74"/>
    <mergeCell ref="A78:C78"/>
    <mergeCell ref="A143:C143"/>
    <mergeCell ref="A172:C172"/>
    <mergeCell ref="A17:C17"/>
    <mergeCell ref="A19:C19"/>
    <mergeCell ref="A34:C34"/>
    <mergeCell ref="A39:C39"/>
    <mergeCell ref="A52:C52"/>
    <mergeCell ref="A8:I8"/>
    <mergeCell ref="K10:L14"/>
    <mergeCell ref="A11:C11"/>
    <mergeCell ref="A13:C13"/>
    <mergeCell ref="A15:C15"/>
    <mergeCell ref="A179:C179"/>
    <mergeCell ref="A181:C181"/>
    <mergeCell ref="A183:C183"/>
    <mergeCell ref="A185:C185"/>
    <mergeCell ref="A203:C203"/>
    <mergeCell ref="A205:C205"/>
    <mergeCell ref="A207:C207"/>
    <mergeCell ref="A209:C209"/>
    <mergeCell ref="A215:C215"/>
    <mergeCell ref="A217:C217"/>
    <mergeCell ref="C225:E225"/>
    <mergeCell ref="G224:H224"/>
    <mergeCell ref="G225:H225"/>
    <mergeCell ref="A219:C219"/>
    <mergeCell ref="A221:C221"/>
    <mergeCell ref="C224:E224"/>
    <mergeCell ref="A222:C222"/>
    <mergeCell ref="E222:I222"/>
  </mergeCells>
  <pageMargins left="0.7" right="0.7" top="0.75" bottom="0.75" header="0.3" footer="0.3"/>
  <pageSetup paperSize="9" scale="61" fitToHeight="0" orientation="landscape" r:id="rId1"/>
  <rowBreaks count="1" manualBreakCount="1">
    <brk id="194" max="8" man="1"/>
  </rowBreaks>
  <colBreaks count="1" manualBreakCount="1">
    <brk id="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3</vt:i4>
      </vt:variant>
      <vt:variant>
        <vt:lpstr>Zone denumite</vt:lpstr>
      </vt:variant>
      <vt:variant>
        <vt:i4>3</vt:i4>
      </vt:variant>
    </vt:vector>
  </HeadingPairs>
  <TitlesOfParts>
    <vt:vector size="6" baseType="lpstr">
      <vt:lpstr>PAAP Continut</vt:lpstr>
      <vt:lpstr>PAAP 2020</vt:lpstr>
      <vt:lpstr>Achizitii directe 2020</vt:lpstr>
      <vt:lpstr>'Achizitii directe 2020'!Zona_de_imprimat</vt:lpstr>
      <vt:lpstr>'PAAP 2020'!Zona_de_imprimat</vt:lpstr>
      <vt:lpstr>'PAAP Continut'!Zona_de_imprimat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2020-02-13T09:43:21Z</dcterms:modified>
</cp:coreProperties>
</file>